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AppData\Roaming\VNPT Plugin\Files\FileTemp\"/>
    </mc:Choice>
  </mc:AlternateContent>
  <bookViews>
    <workbookView xWindow="-120" yWindow="-120" windowWidth="20736" windowHeight="11040"/>
  </bookViews>
  <sheets>
    <sheet name="Biểu số 01" sheetId="8" r:id="rId1"/>
    <sheet name="Biểu mẫu 02" sheetId="10" r:id="rId2"/>
    <sheet name="Biểu mẫu 03" sheetId="1" r:id="rId3"/>
    <sheet name="Biểu mẫu 04" sheetId="4" r:id="rId4"/>
    <sheet name="Phụ biểu 01" sheetId="11" r:id="rId5"/>
  </sheets>
  <definedNames>
    <definedName name="_xlnm._FilterDatabase" localSheetId="1" hidden="1">'Biểu mẫu 02'!$B$1:$B$119</definedName>
    <definedName name="chuong_phuluc_34" localSheetId="2">'Biểu mẫu 03'!$E$1</definedName>
    <definedName name="chuong_phuluc_34_name" localSheetId="2">'Biểu mẫu 03'!$A$3</definedName>
    <definedName name="chuong_phuluc_37" localSheetId="3">'Biểu mẫu 04'!$O$1</definedName>
    <definedName name="chuong_phuluc_37_name" localSheetId="3">'Biểu mẫu 04'!$A$3</definedName>
    <definedName name="_xlnm.Print_Area" localSheetId="1">'Biểu mẫu 02'!$A$1:$Q$95</definedName>
    <definedName name="_xlnm.Print_Area" localSheetId="2">'Biểu mẫu 03'!$A$1:$C$47</definedName>
    <definedName name="_xlnm.Print_Area" localSheetId="3">'Biểu mẫu 04'!$A$1:$R$96</definedName>
    <definedName name="_xlnm.Print_Area" localSheetId="4">'Phụ biểu 01'!$A$1:$K$110</definedName>
    <definedName name="_xlnm.Print_Titles" localSheetId="1">'Biểu mẫu 02'!$5:$7</definedName>
    <definedName name="_xlnm.Print_Titles" localSheetId="2">'Biểu mẫu 03'!$7:$8</definedName>
    <definedName name="_xlnm.Print_Titles" localSheetId="3">'Biểu mẫu 04'!$7:$9</definedName>
    <definedName name="_xlnm.Print_Titles" localSheetId="4">'Phụ biểu 01'!$6:$7</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4" i="8" l="1"/>
  <c r="D35" i="8"/>
  <c r="D33" i="8"/>
  <c r="D32" i="8" s="1"/>
  <c r="E32" i="8"/>
  <c r="F32" i="8"/>
  <c r="G32" i="8"/>
  <c r="C32" i="8"/>
  <c r="A3" i="8" l="1"/>
  <c r="A4" i="11" l="1"/>
  <c r="H29" i="11" l="1"/>
  <c r="D29" i="11"/>
  <c r="O41" i="10" l="1"/>
  <c r="I29" i="11" l="1"/>
  <c r="E29" i="11"/>
  <c r="C51" i="4" l="1"/>
  <c r="T10" i="4"/>
  <c r="D49" i="4"/>
  <c r="E49" i="4"/>
  <c r="F49" i="4"/>
  <c r="G49" i="4"/>
  <c r="H49" i="4"/>
  <c r="I49" i="4"/>
  <c r="J49" i="4"/>
  <c r="K49" i="4"/>
  <c r="L49" i="4"/>
  <c r="M49" i="4"/>
  <c r="N49" i="4"/>
  <c r="O49" i="4"/>
  <c r="Q49" i="4"/>
  <c r="R49" i="4"/>
  <c r="C15" i="4"/>
  <c r="C16" i="4"/>
  <c r="C17" i="4"/>
  <c r="C20" i="4"/>
  <c r="C21" i="4"/>
  <c r="C22" i="4"/>
  <c r="C23" i="4"/>
  <c r="C26" i="4"/>
  <c r="C27" i="4"/>
  <c r="C28" i="4"/>
  <c r="C29" i="4"/>
  <c r="C43" i="4"/>
  <c r="C44" i="4"/>
  <c r="C46" i="4"/>
  <c r="C47" i="4"/>
  <c r="C57" i="4"/>
  <c r="C61" i="4"/>
  <c r="C62" i="4"/>
  <c r="C63" i="4"/>
  <c r="C64" i="4"/>
  <c r="C77" i="4"/>
  <c r="C78" i="4"/>
  <c r="C92" i="4"/>
  <c r="C93" i="4"/>
  <c r="E79" i="4" l="1"/>
  <c r="H79" i="4"/>
  <c r="N79" i="4"/>
  <c r="O79" i="4"/>
  <c r="R79" i="4"/>
  <c r="D75" i="4"/>
  <c r="E75" i="4"/>
  <c r="F75" i="4"/>
  <c r="G75" i="4"/>
  <c r="H75" i="4"/>
  <c r="I75" i="4"/>
  <c r="J75" i="4"/>
  <c r="K75" i="4"/>
  <c r="M75" i="4"/>
  <c r="N75" i="4"/>
  <c r="O75" i="4"/>
  <c r="P75" i="4"/>
  <c r="Q75" i="4"/>
  <c r="R75" i="4"/>
  <c r="D69" i="4"/>
  <c r="E69" i="4"/>
  <c r="F69" i="4"/>
  <c r="G69" i="4"/>
  <c r="H69" i="4"/>
  <c r="I69" i="4"/>
  <c r="J69" i="4"/>
  <c r="K69" i="4"/>
  <c r="L69" i="4"/>
  <c r="M69" i="4"/>
  <c r="N69" i="4"/>
  <c r="O69" i="4"/>
  <c r="Q69" i="4"/>
  <c r="R69" i="4"/>
  <c r="D56" i="4"/>
  <c r="E56" i="4"/>
  <c r="F56" i="4"/>
  <c r="G56" i="4"/>
  <c r="H56" i="4"/>
  <c r="I56" i="4"/>
  <c r="J56" i="4"/>
  <c r="K56" i="4"/>
  <c r="L56" i="4"/>
  <c r="N56" i="4"/>
  <c r="O56" i="4"/>
  <c r="O48" i="4" s="1"/>
  <c r="Q56" i="4"/>
  <c r="R56" i="4"/>
  <c r="D45" i="4"/>
  <c r="E45" i="4"/>
  <c r="F45" i="4"/>
  <c r="G45" i="4"/>
  <c r="H45" i="4"/>
  <c r="I45" i="4"/>
  <c r="J45" i="4"/>
  <c r="K45" i="4"/>
  <c r="L45" i="4"/>
  <c r="M45" i="4"/>
  <c r="N45" i="4"/>
  <c r="O45" i="4"/>
  <c r="P45" i="4"/>
  <c r="Q45" i="4"/>
  <c r="R45" i="4"/>
  <c r="D42" i="4"/>
  <c r="E42" i="4"/>
  <c r="F42" i="4"/>
  <c r="G42" i="4"/>
  <c r="H42" i="4"/>
  <c r="I42" i="4"/>
  <c r="J42" i="4"/>
  <c r="K42" i="4"/>
  <c r="L42" i="4"/>
  <c r="M42" i="4"/>
  <c r="N42" i="4"/>
  <c r="O42" i="4"/>
  <c r="P42" i="4"/>
  <c r="Q42" i="4"/>
  <c r="R42" i="4"/>
  <c r="D37" i="4"/>
  <c r="E37" i="4"/>
  <c r="G37" i="4"/>
  <c r="H37" i="4"/>
  <c r="I37" i="4"/>
  <c r="J37" i="4"/>
  <c r="K37" i="4"/>
  <c r="L37" i="4"/>
  <c r="M37" i="4"/>
  <c r="N37" i="4"/>
  <c r="O37" i="4"/>
  <c r="Q37" i="4"/>
  <c r="R37" i="4"/>
  <c r="D32" i="4"/>
  <c r="E32" i="4"/>
  <c r="F32" i="4"/>
  <c r="H32" i="4"/>
  <c r="I32" i="4"/>
  <c r="J32" i="4"/>
  <c r="K32" i="4"/>
  <c r="L32" i="4"/>
  <c r="M32" i="4"/>
  <c r="N32" i="4"/>
  <c r="O32" i="4"/>
  <c r="Q32" i="4"/>
  <c r="R32" i="4"/>
  <c r="D48" i="4" l="1"/>
  <c r="N48" i="4"/>
  <c r="E48" i="4"/>
  <c r="H48" i="4"/>
  <c r="C45" i="4"/>
  <c r="C42" i="4"/>
  <c r="H67" i="10"/>
  <c r="H65" i="10"/>
  <c r="J106" i="11" l="1"/>
  <c r="F106" i="11"/>
  <c r="K106" i="11" s="1"/>
  <c r="J105" i="11"/>
  <c r="F105" i="11"/>
  <c r="J104" i="11"/>
  <c r="F104" i="11"/>
  <c r="J103" i="11"/>
  <c r="F103" i="11"/>
  <c r="K103" i="11" s="1"/>
  <c r="J102" i="11"/>
  <c r="F102" i="11"/>
  <c r="K102" i="11" s="1"/>
  <c r="G101" i="11"/>
  <c r="J101" i="11" s="1"/>
  <c r="F101" i="11"/>
  <c r="G100" i="11"/>
  <c r="J100" i="11" s="1"/>
  <c r="F100" i="11"/>
  <c r="J99" i="11"/>
  <c r="F99" i="11"/>
  <c r="G98" i="11"/>
  <c r="J98" i="11" s="1"/>
  <c r="F98" i="11"/>
  <c r="K98" i="11" s="1"/>
  <c r="J97" i="11"/>
  <c r="F97" i="11"/>
  <c r="J96" i="11"/>
  <c r="F96" i="11"/>
  <c r="J95" i="11"/>
  <c r="F95" i="11"/>
  <c r="J94" i="11"/>
  <c r="F94" i="11"/>
  <c r="J93" i="11"/>
  <c r="F93" i="11"/>
  <c r="K93" i="11" s="1"/>
  <c r="J92" i="11"/>
  <c r="F92" i="11"/>
  <c r="K92" i="11" s="1"/>
  <c r="J91" i="11"/>
  <c r="J90" i="11" s="1"/>
  <c r="F91" i="11"/>
  <c r="F90" i="11" s="1"/>
  <c r="I90" i="11"/>
  <c r="H90" i="11"/>
  <c r="G90" i="11"/>
  <c r="E90" i="11"/>
  <c r="D90" i="11"/>
  <c r="C90" i="11"/>
  <c r="J89" i="11"/>
  <c r="F89" i="11"/>
  <c r="K89" i="11" s="1"/>
  <c r="J88" i="11"/>
  <c r="F88" i="11"/>
  <c r="K88" i="11" s="1"/>
  <c r="J87" i="11"/>
  <c r="F87" i="11"/>
  <c r="J86" i="11"/>
  <c r="F86" i="11"/>
  <c r="I85" i="11"/>
  <c r="H85" i="11"/>
  <c r="G85" i="11"/>
  <c r="E85" i="11"/>
  <c r="D85" i="11"/>
  <c r="C85" i="11"/>
  <c r="J84" i="11"/>
  <c r="F84" i="11"/>
  <c r="K84" i="11" s="1"/>
  <c r="J83" i="11"/>
  <c r="F83" i="11"/>
  <c r="J82" i="11"/>
  <c r="F82" i="11"/>
  <c r="I81" i="11"/>
  <c r="H81" i="11"/>
  <c r="G81" i="11"/>
  <c r="E81" i="11"/>
  <c r="D81" i="11"/>
  <c r="D80" i="11" s="1"/>
  <c r="D79" i="11" s="1"/>
  <c r="C81" i="11"/>
  <c r="J78" i="11"/>
  <c r="F78" i="11"/>
  <c r="K78" i="11" s="1"/>
  <c r="J77" i="11"/>
  <c r="F77" i="11"/>
  <c r="J76" i="11"/>
  <c r="F76" i="11"/>
  <c r="K76" i="11" s="1"/>
  <c r="J75" i="11"/>
  <c r="F75" i="11"/>
  <c r="I74" i="11"/>
  <c r="H74" i="11"/>
  <c r="G74" i="11"/>
  <c r="E74" i="11"/>
  <c r="D74" i="11"/>
  <c r="C74" i="11"/>
  <c r="J73" i="11"/>
  <c r="F73" i="11"/>
  <c r="K73" i="11" s="1"/>
  <c r="J72" i="11"/>
  <c r="F72" i="11"/>
  <c r="K72" i="11" s="1"/>
  <c r="I71" i="11"/>
  <c r="H71" i="11"/>
  <c r="G71" i="11"/>
  <c r="E71" i="11"/>
  <c r="D71" i="11"/>
  <c r="C71" i="11"/>
  <c r="J70" i="11"/>
  <c r="F70" i="11"/>
  <c r="K70" i="11" s="1"/>
  <c r="J69" i="11"/>
  <c r="F69" i="11"/>
  <c r="J68" i="11"/>
  <c r="F68" i="11"/>
  <c r="J67" i="11"/>
  <c r="F67" i="11"/>
  <c r="I66" i="11"/>
  <c r="H66" i="11"/>
  <c r="G66" i="11"/>
  <c r="E66" i="11"/>
  <c r="D66" i="11"/>
  <c r="C66" i="11"/>
  <c r="J65" i="11"/>
  <c r="F65" i="11"/>
  <c r="J64" i="11"/>
  <c r="F64" i="11"/>
  <c r="J63" i="11"/>
  <c r="F63" i="11"/>
  <c r="J62" i="11"/>
  <c r="F62" i="11"/>
  <c r="K62" i="11" s="1"/>
  <c r="J61" i="11"/>
  <c r="F61" i="11"/>
  <c r="K61" i="11" s="1"/>
  <c r="J60" i="11"/>
  <c r="F60" i="11"/>
  <c r="I59" i="11"/>
  <c r="H59" i="11"/>
  <c r="G59" i="11"/>
  <c r="E59" i="11"/>
  <c r="D59" i="11"/>
  <c r="C59" i="11"/>
  <c r="J58" i="11"/>
  <c r="F58" i="11"/>
  <c r="J57" i="11"/>
  <c r="F57" i="11"/>
  <c r="J56" i="11"/>
  <c r="F56" i="11"/>
  <c r="J55" i="11"/>
  <c r="F55" i="11"/>
  <c r="I54" i="11"/>
  <c r="H54" i="11"/>
  <c r="G54" i="11"/>
  <c r="E54" i="11"/>
  <c r="D54" i="11"/>
  <c r="C54" i="11"/>
  <c r="J53" i="11"/>
  <c r="F53" i="11"/>
  <c r="J52" i="11"/>
  <c r="F52" i="11"/>
  <c r="K52" i="11" s="1"/>
  <c r="J51" i="11"/>
  <c r="F51" i="11"/>
  <c r="J50" i="11"/>
  <c r="F50" i="11"/>
  <c r="I49" i="11"/>
  <c r="H49" i="11"/>
  <c r="G49" i="11"/>
  <c r="E49" i="11"/>
  <c r="D49" i="11"/>
  <c r="C49" i="11"/>
  <c r="J48" i="11"/>
  <c r="F48" i="11"/>
  <c r="K48" i="11" s="1"/>
  <c r="J47" i="11"/>
  <c r="F47" i="11"/>
  <c r="J46" i="11"/>
  <c r="F46" i="11"/>
  <c r="J45" i="11"/>
  <c r="F45" i="11"/>
  <c r="I44" i="11"/>
  <c r="H44" i="11"/>
  <c r="G44" i="11"/>
  <c r="E44" i="11"/>
  <c r="D44" i="11"/>
  <c r="C44" i="11"/>
  <c r="J43" i="11"/>
  <c r="F43" i="11"/>
  <c r="J42" i="11"/>
  <c r="F42" i="11"/>
  <c r="J41" i="11"/>
  <c r="F41" i="11"/>
  <c r="K41" i="11" s="1"/>
  <c r="J40" i="11"/>
  <c r="F40" i="11"/>
  <c r="I39" i="11"/>
  <c r="H39" i="11"/>
  <c r="G39" i="11"/>
  <c r="E39" i="11"/>
  <c r="D39" i="11"/>
  <c r="C39" i="11"/>
  <c r="J38" i="11"/>
  <c r="F38" i="11"/>
  <c r="J37" i="11"/>
  <c r="F37" i="11"/>
  <c r="J36" i="11"/>
  <c r="F36" i="11"/>
  <c r="J35" i="11"/>
  <c r="F35" i="11"/>
  <c r="K35" i="11" s="1"/>
  <c r="J34" i="11"/>
  <c r="F34" i="11"/>
  <c r="J33" i="11"/>
  <c r="F33" i="11"/>
  <c r="J32" i="11"/>
  <c r="F32" i="11"/>
  <c r="J31" i="11"/>
  <c r="F31" i="11"/>
  <c r="I30" i="11"/>
  <c r="H30" i="11"/>
  <c r="G30" i="11"/>
  <c r="E30" i="11"/>
  <c r="D30" i="11"/>
  <c r="C30" i="11"/>
  <c r="G29" i="11"/>
  <c r="J29" i="11" s="1"/>
  <c r="P58" i="4" s="1"/>
  <c r="C58" i="4" s="1"/>
  <c r="C29" i="11"/>
  <c r="C23" i="11" s="1"/>
  <c r="J28" i="11"/>
  <c r="F28" i="11"/>
  <c r="J27" i="11"/>
  <c r="F27" i="11"/>
  <c r="K27" i="11" s="1"/>
  <c r="I26" i="11"/>
  <c r="J26" i="11" s="1"/>
  <c r="P54" i="4" s="1"/>
  <c r="C54" i="4" s="1"/>
  <c r="E26" i="11"/>
  <c r="F26" i="11" s="1"/>
  <c r="I25" i="11"/>
  <c r="J25" i="11" s="1"/>
  <c r="P52" i="4" s="1"/>
  <c r="C52" i="4" s="1"/>
  <c r="E25" i="11"/>
  <c r="E23" i="11" s="1"/>
  <c r="J24" i="11"/>
  <c r="P50" i="4" s="1"/>
  <c r="F24" i="11"/>
  <c r="I23" i="11"/>
  <c r="H23" i="11"/>
  <c r="D23" i="11"/>
  <c r="G22" i="11"/>
  <c r="G19" i="11" s="1"/>
  <c r="C22" i="11"/>
  <c r="F22" i="11" s="1"/>
  <c r="J21" i="11"/>
  <c r="F21" i="11"/>
  <c r="J20" i="11"/>
  <c r="F20" i="11"/>
  <c r="I19" i="11"/>
  <c r="H19" i="11"/>
  <c r="E19" i="11"/>
  <c r="D19" i="11"/>
  <c r="J18" i="11"/>
  <c r="F18" i="11"/>
  <c r="J17" i="11"/>
  <c r="F17" i="11"/>
  <c r="I16" i="11"/>
  <c r="J16" i="11" s="1"/>
  <c r="E16" i="11"/>
  <c r="E14" i="11" s="1"/>
  <c r="J15" i="11"/>
  <c r="F15" i="11"/>
  <c r="H14" i="11"/>
  <c r="G14" i="11"/>
  <c r="D14" i="11"/>
  <c r="C14" i="11"/>
  <c r="J13" i="11"/>
  <c r="F13" i="11"/>
  <c r="J12" i="11"/>
  <c r="F12" i="11"/>
  <c r="J11" i="11"/>
  <c r="F11" i="11"/>
  <c r="J10" i="11"/>
  <c r="F10" i="11"/>
  <c r="I9" i="11"/>
  <c r="H9" i="11"/>
  <c r="G9" i="11"/>
  <c r="E9" i="11"/>
  <c r="D9" i="11"/>
  <c r="C9" i="11"/>
  <c r="E80" i="11" l="1"/>
  <c r="E79" i="11" s="1"/>
  <c r="K13" i="11"/>
  <c r="K21" i="11"/>
  <c r="K38" i="11"/>
  <c r="J71" i="11"/>
  <c r="J39" i="11"/>
  <c r="K33" i="11"/>
  <c r="K47" i="11"/>
  <c r="K65" i="11"/>
  <c r="K86" i="11"/>
  <c r="K17" i="11"/>
  <c r="H80" i="11"/>
  <c r="H79" i="11" s="1"/>
  <c r="J85" i="11"/>
  <c r="K42" i="11"/>
  <c r="K50" i="11"/>
  <c r="K68" i="11"/>
  <c r="J74" i="11"/>
  <c r="I80" i="11"/>
  <c r="I79" i="11" s="1"/>
  <c r="K95" i="11"/>
  <c r="C80" i="11"/>
  <c r="C79" i="11" s="1"/>
  <c r="F16" i="11"/>
  <c r="P35" i="4" s="1"/>
  <c r="F25" i="11"/>
  <c r="F85" i="11"/>
  <c r="G80" i="11"/>
  <c r="G79" i="11" s="1"/>
  <c r="J22" i="11"/>
  <c r="P70" i="4" s="1"/>
  <c r="C70" i="4" s="1"/>
  <c r="K100" i="11"/>
  <c r="K58" i="11"/>
  <c r="K83" i="11"/>
  <c r="I14" i="11"/>
  <c r="I8" i="11" s="1"/>
  <c r="I107" i="11" s="1"/>
  <c r="G23" i="11"/>
  <c r="G8" i="11" s="1"/>
  <c r="J30" i="11"/>
  <c r="K67" i="11"/>
  <c r="F71" i="11"/>
  <c r="K101" i="11"/>
  <c r="K46" i="11"/>
  <c r="C50" i="4"/>
  <c r="K26" i="11"/>
  <c r="P55" i="4" s="1"/>
  <c r="C55" i="4" s="1"/>
  <c r="K57" i="11"/>
  <c r="P40" i="4"/>
  <c r="C40" i="4" s="1"/>
  <c r="K15" i="11"/>
  <c r="K32" i="11"/>
  <c r="J66" i="11"/>
  <c r="K87" i="11"/>
  <c r="H8" i="11"/>
  <c r="K96" i="11"/>
  <c r="D8" i="11"/>
  <c r="D107" i="11" s="1"/>
  <c r="D137" i="11" s="1"/>
  <c r="K75" i="11"/>
  <c r="K74" i="11" s="1"/>
  <c r="K85" i="11"/>
  <c r="K18" i="11"/>
  <c r="K31" i="11"/>
  <c r="F39" i="11"/>
  <c r="K43" i="11"/>
  <c r="K39" i="11" s="1"/>
  <c r="F44" i="11"/>
  <c r="K56" i="11"/>
  <c r="K63" i="11"/>
  <c r="K69" i="11"/>
  <c r="K77" i="11"/>
  <c r="K82" i="11"/>
  <c r="K91" i="11"/>
  <c r="K104" i="11"/>
  <c r="P95" i="4"/>
  <c r="C95" i="4" s="1"/>
  <c r="K11" i="11"/>
  <c r="F30" i="11"/>
  <c r="P30" i="4" s="1"/>
  <c r="C30" i="4" s="1"/>
  <c r="K37" i="11"/>
  <c r="J44" i="11"/>
  <c r="J54" i="11"/>
  <c r="F59" i="11"/>
  <c r="J81" i="11"/>
  <c r="J14" i="11"/>
  <c r="K12" i="11"/>
  <c r="K25" i="11"/>
  <c r="P53" i="4" s="1"/>
  <c r="C53" i="4" s="1"/>
  <c r="K28" i="11"/>
  <c r="K34" i="11"/>
  <c r="K40" i="11"/>
  <c r="K51" i="11"/>
  <c r="K49" i="11" s="1"/>
  <c r="K55" i="11"/>
  <c r="K54" i="11" s="1"/>
  <c r="J59" i="11"/>
  <c r="K64" i="11"/>
  <c r="K94" i="11"/>
  <c r="K97" i="11"/>
  <c r="K99" i="11"/>
  <c r="K105" i="11"/>
  <c r="K60" i="11"/>
  <c r="K59" i="11" s="1"/>
  <c r="J49" i="11"/>
  <c r="K53" i="11"/>
  <c r="L23" i="11"/>
  <c r="L25" i="11" s="1"/>
  <c r="K24" i="11"/>
  <c r="E8" i="11"/>
  <c r="E107" i="11" s="1"/>
  <c r="E138" i="11" s="1"/>
  <c r="J9" i="11"/>
  <c r="J23" i="11"/>
  <c r="K16" i="11"/>
  <c r="F19" i="11"/>
  <c r="K71" i="11"/>
  <c r="F9" i="11"/>
  <c r="K10" i="11"/>
  <c r="K20" i="11"/>
  <c r="F29" i="11"/>
  <c r="K29" i="11" s="1"/>
  <c r="F54" i="11"/>
  <c r="F66" i="11"/>
  <c r="F74" i="11"/>
  <c r="K45" i="11"/>
  <c r="F14" i="11"/>
  <c r="C19" i="11"/>
  <c r="C8" i="11" s="1"/>
  <c r="F49" i="11"/>
  <c r="F81" i="11"/>
  <c r="K90" i="11" l="1"/>
  <c r="K66" i="11"/>
  <c r="C107" i="11"/>
  <c r="C137" i="11" s="1"/>
  <c r="K44" i="11"/>
  <c r="K22" i="11"/>
  <c r="P71" i="4" s="1"/>
  <c r="C71" i="4" s="1"/>
  <c r="J80" i="11"/>
  <c r="J79" i="11" s="1"/>
  <c r="H107" i="11"/>
  <c r="H137" i="11" s="1"/>
  <c r="G107" i="11"/>
  <c r="G137" i="11" s="1"/>
  <c r="P49" i="4"/>
  <c r="K81" i="11"/>
  <c r="K80" i="11" s="1"/>
  <c r="K79" i="11" s="1"/>
  <c r="K9" i="11"/>
  <c r="C35" i="4"/>
  <c r="P32" i="4"/>
  <c r="P31" i="4"/>
  <c r="C31" i="4" s="1"/>
  <c r="L41" i="11"/>
  <c r="L35" i="11"/>
  <c r="K23" i="11"/>
  <c r="C49" i="4"/>
  <c r="K14" i="11"/>
  <c r="K30" i="11"/>
  <c r="J19" i="11"/>
  <c r="J8" i="11" s="1"/>
  <c r="F80" i="11"/>
  <c r="F79" i="11" s="1"/>
  <c r="D138" i="11"/>
  <c r="K19" i="11"/>
  <c r="I137" i="11"/>
  <c r="E137" i="11"/>
  <c r="F23" i="11"/>
  <c r="C138" i="11"/>
  <c r="G118" i="10" l="1"/>
  <c r="J118" i="10"/>
  <c r="P69" i="4"/>
  <c r="C69" i="4" s="1"/>
  <c r="K8" i="11"/>
  <c r="K107" i="11" s="1"/>
  <c r="K137" i="11" s="1"/>
  <c r="F8" i="11"/>
  <c r="F107" i="11" s="1"/>
  <c r="F137" i="11" s="1"/>
  <c r="L19" i="11"/>
  <c r="J107" i="11"/>
  <c r="R15" i="10" s="1"/>
  <c r="B41" i="4"/>
  <c r="J137" i="11" l="1"/>
  <c r="R30" i="10"/>
  <c r="D40" i="10" l="1"/>
  <c r="F40" i="10"/>
  <c r="G40" i="10"/>
  <c r="I40" i="10"/>
  <c r="J40" i="10"/>
  <c r="L40" i="10"/>
  <c r="C40" i="10"/>
  <c r="P86" i="10"/>
  <c r="P87" i="10"/>
  <c r="P88" i="10"/>
  <c r="O86" i="10"/>
  <c r="F74" i="4" s="1"/>
  <c r="O88" i="10"/>
  <c r="F41" i="4" s="1"/>
  <c r="C41" i="4" s="1"/>
  <c r="P80" i="10"/>
  <c r="P81" i="10"/>
  <c r="P82" i="10"/>
  <c r="P83" i="10"/>
  <c r="P50" i="10"/>
  <c r="O50" i="10"/>
  <c r="Q88" i="4" s="1"/>
  <c r="P27" i="10"/>
  <c r="P28" i="10"/>
  <c r="P29" i="10"/>
  <c r="O27" i="10"/>
  <c r="I81" i="4" s="1"/>
  <c r="C81" i="4" s="1"/>
  <c r="O29" i="10"/>
  <c r="I94" i="4" s="1"/>
  <c r="P16" i="10"/>
  <c r="P17" i="10"/>
  <c r="P18" i="10"/>
  <c r="P19" i="10"/>
  <c r="P20" i="10"/>
  <c r="P22" i="10"/>
  <c r="P24" i="10"/>
  <c r="O16" i="10"/>
  <c r="O17" i="10"/>
  <c r="O18" i="10"/>
  <c r="O19" i="10"/>
  <c r="O20" i="10"/>
  <c r="O22" i="10"/>
  <c r="O24" i="10"/>
  <c r="H92" i="10"/>
  <c r="H91" i="10"/>
  <c r="H90" i="10"/>
  <c r="H47" i="10"/>
  <c r="H48" i="10"/>
  <c r="H49" i="10"/>
  <c r="H50" i="10"/>
  <c r="Q50" i="10" s="1"/>
  <c r="N86" i="10"/>
  <c r="N87" i="10"/>
  <c r="Q87" i="10" s="1"/>
  <c r="N88" i="10"/>
  <c r="M65" i="10"/>
  <c r="M85" i="10"/>
  <c r="M41" i="10"/>
  <c r="M40" i="10" s="1"/>
  <c r="F48" i="4" l="1"/>
  <c r="G52" i="10"/>
  <c r="G70" i="10"/>
  <c r="I87" i="10" l="1"/>
  <c r="I81" i="10"/>
  <c r="I85" i="10" l="1"/>
  <c r="O87" i="10"/>
  <c r="F94" i="4" s="1"/>
  <c r="N81" i="10"/>
  <c r="K81" i="10"/>
  <c r="H81" i="10"/>
  <c r="O81" i="10"/>
  <c r="G94" i="4" s="1"/>
  <c r="G79" i="4" s="1"/>
  <c r="L57" i="10"/>
  <c r="F32" i="10"/>
  <c r="F66" i="10" s="1"/>
  <c r="F28" i="10"/>
  <c r="O28" i="10" s="1"/>
  <c r="I74" i="4" s="1"/>
  <c r="I48" i="4" s="1"/>
  <c r="E48" i="10"/>
  <c r="E49" i="10"/>
  <c r="E47" i="10"/>
  <c r="F79" i="4" l="1"/>
  <c r="Q81" i="10"/>
  <c r="E18" i="10"/>
  <c r="Q18" i="10" s="1"/>
  <c r="O92" i="10"/>
  <c r="N92" i="10"/>
  <c r="K92" i="10"/>
  <c r="E92" i="10"/>
  <c r="P91" i="10"/>
  <c r="O91" i="10"/>
  <c r="N91" i="10"/>
  <c r="K91" i="10"/>
  <c r="E91" i="10"/>
  <c r="P90" i="10"/>
  <c r="O90" i="10"/>
  <c r="R73" i="4" s="1"/>
  <c r="C73" i="4" s="1"/>
  <c r="N90" i="10"/>
  <c r="K90" i="10"/>
  <c r="H89" i="10"/>
  <c r="E90" i="10"/>
  <c r="M89" i="10"/>
  <c r="L89" i="10"/>
  <c r="J89" i="10"/>
  <c r="I89" i="10"/>
  <c r="G89" i="10"/>
  <c r="F89" i="10"/>
  <c r="E89" i="10"/>
  <c r="K88" i="10"/>
  <c r="H88" i="10"/>
  <c r="E88" i="10"/>
  <c r="K86" i="10"/>
  <c r="H86" i="10"/>
  <c r="E86" i="10"/>
  <c r="P85" i="10"/>
  <c r="P84" i="10" s="1"/>
  <c r="O85" i="10"/>
  <c r="N85" i="10"/>
  <c r="K85" i="10"/>
  <c r="H85" i="10"/>
  <c r="E85" i="10"/>
  <c r="M84" i="10"/>
  <c r="L84" i="10"/>
  <c r="J84" i="10"/>
  <c r="I84" i="10"/>
  <c r="G84" i="10"/>
  <c r="F84" i="10"/>
  <c r="E84" i="10"/>
  <c r="O83" i="10"/>
  <c r="G36" i="4" s="1"/>
  <c r="C36" i="4" s="1"/>
  <c r="N83" i="10"/>
  <c r="K83" i="10"/>
  <c r="H83" i="10"/>
  <c r="E83" i="10"/>
  <c r="O82" i="10"/>
  <c r="G34" i="4" s="1"/>
  <c r="C34" i="4" s="1"/>
  <c r="N82" i="10"/>
  <c r="K82" i="10"/>
  <c r="H82" i="10"/>
  <c r="E82" i="10"/>
  <c r="O80" i="10"/>
  <c r="G74" i="4" s="1"/>
  <c r="N80" i="10"/>
  <c r="K80" i="10"/>
  <c r="H80" i="10"/>
  <c r="E80" i="10"/>
  <c r="P79" i="10"/>
  <c r="O79" i="10"/>
  <c r="G33" i="4" s="1"/>
  <c r="N79" i="10"/>
  <c r="K79" i="10"/>
  <c r="H79" i="10"/>
  <c r="E79" i="10"/>
  <c r="M78" i="10"/>
  <c r="L78" i="10"/>
  <c r="J78" i="10"/>
  <c r="I78" i="10"/>
  <c r="G78" i="10"/>
  <c r="F78" i="10"/>
  <c r="E78" i="10"/>
  <c r="P77" i="10"/>
  <c r="P59" i="4" s="1"/>
  <c r="O77" i="10"/>
  <c r="N77" i="10"/>
  <c r="K77" i="10"/>
  <c r="H77" i="10"/>
  <c r="E77" i="10"/>
  <c r="P76" i="10"/>
  <c r="O76" i="10"/>
  <c r="N76" i="10"/>
  <c r="K76" i="10"/>
  <c r="H76" i="10"/>
  <c r="E76" i="10"/>
  <c r="O75" i="10"/>
  <c r="N75" i="10"/>
  <c r="P75" i="10"/>
  <c r="H75" i="10"/>
  <c r="E75" i="10"/>
  <c r="P74" i="10"/>
  <c r="O74" i="10"/>
  <c r="N74" i="10"/>
  <c r="K74" i="10"/>
  <c r="H74" i="10"/>
  <c r="E74" i="10"/>
  <c r="P73" i="10"/>
  <c r="O73" i="10"/>
  <c r="N73" i="10"/>
  <c r="K73" i="10"/>
  <c r="H73" i="10"/>
  <c r="E73" i="10"/>
  <c r="P72" i="10"/>
  <c r="O72" i="10"/>
  <c r="N72" i="10"/>
  <c r="K72" i="10"/>
  <c r="H72" i="10"/>
  <c r="E72" i="10"/>
  <c r="O71" i="10"/>
  <c r="P72" i="4" s="1"/>
  <c r="C72" i="4" s="1"/>
  <c r="N71" i="10"/>
  <c r="J64" i="10"/>
  <c r="H71" i="10"/>
  <c r="E71" i="10"/>
  <c r="P70" i="10"/>
  <c r="O70" i="10"/>
  <c r="N70" i="10"/>
  <c r="K70" i="10"/>
  <c r="H70" i="10"/>
  <c r="E70" i="10"/>
  <c r="O69" i="10"/>
  <c r="N69" i="10"/>
  <c r="K69" i="10"/>
  <c r="E69" i="10"/>
  <c r="P68" i="10"/>
  <c r="O68" i="10"/>
  <c r="N68" i="10"/>
  <c r="K68" i="10"/>
  <c r="H68" i="10"/>
  <c r="E68" i="10"/>
  <c r="P67" i="10"/>
  <c r="O67" i="10"/>
  <c r="P94" i="4" s="1"/>
  <c r="P79" i="4" s="1"/>
  <c r="K67" i="10"/>
  <c r="E67" i="10"/>
  <c r="P66" i="10"/>
  <c r="O66" i="10"/>
  <c r="P74" i="4" s="1"/>
  <c r="N66" i="10"/>
  <c r="K66" i="10"/>
  <c r="H66" i="10"/>
  <c r="E66" i="10"/>
  <c r="P65" i="10"/>
  <c r="R71" i="10" s="1"/>
  <c r="O65" i="10"/>
  <c r="N65" i="10"/>
  <c r="K65" i="10"/>
  <c r="E65" i="10"/>
  <c r="M64" i="10"/>
  <c r="L64" i="10"/>
  <c r="I64" i="10"/>
  <c r="F64" i="10"/>
  <c r="E64" i="10"/>
  <c r="P63" i="10"/>
  <c r="O63" i="10"/>
  <c r="N63" i="10"/>
  <c r="K63" i="10"/>
  <c r="H63" i="10"/>
  <c r="E63" i="10"/>
  <c r="P62" i="10"/>
  <c r="O62" i="10"/>
  <c r="L94" i="4" s="1"/>
  <c r="L79" i="4" s="1"/>
  <c r="N62" i="10"/>
  <c r="K62" i="10"/>
  <c r="H62" i="10"/>
  <c r="E62" i="10"/>
  <c r="P61" i="10"/>
  <c r="O61" i="10"/>
  <c r="L74" i="4" s="1"/>
  <c r="L48" i="4" s="1"/>
  <c r="N61" i="10"/>
  <c r="K61" i="10"/>
  <c r="H61" i="10"/>
  <c r="E61" i="10"/>
  <c r="P60" i="10"/>
  <c r="O60" i="10"/>
  <c r="L76" i="4" s="1"/>
  <c r="N60" i="10"/>
  <c r="K60" i="10"/>
  <c r="H60" i="10"/>
  <c r="E60" i="10"/>
  <c r="M59" i="10"/>
  <c r="L59" i="10"/>
  <c r="J59" i="10"/>
  <c r="I59" i="10"/>
  <c r="G59" i="10"/>
  <c r="F59" i="10"/>
  <c r="E59" i="10"/>
  <c r="P58" i="10"/>
  <c r="O58" i="10"/>
  <c r="M68" i="4" s="1"/>
  <c r="C68" i="4" s="1"/>
  <c r="N58" i="10"/>
  <c r="K58" i="10"/>
  <c r="H58" i="10"/>
  <c r="E58" i="10"/>
  <c r="P57" i="10"/>
  <c r="O57" i="10"/>
  <c r="M67" i="4" s="1"/>
  <c r="C67" i="4" s="1"/>
  <c r="N57" i="10"/>
  <c r="K57" i="10"/>
  <c r="H57" i="10"/>
  <c r="E57" i="10"/>
  <c r="P56" i="10"/>
  <c r="O56" i="10"/>
  <c r="M66" i="4" s="1"/>
  <c r="C66" i="4" s="1"/>
  <c r="N56" i="10"/>
  <c r="K56" i="10"/>
  <c r="H56" i="10"/>
  <c r="E56" i="10"/>
  <c r="P55" i="10"/>
  <c r="O55" i="10"/>
  <c r="N55" i="10"/>
  <c r="K55" i="10"/>
  <c r="H55" i="10"/>
  <c r="E55" i="10"/>
  <c r="P54" i="10"/>
  <c r="O54" i="10"/>
  <c r="M94" i="4" s="1"/>
  <c r="M79" i="4" s="1"/>
  <c r="N54" i="10"/>
  <c r="K54" i="10"/>
  <c r="H54" i="10"/>
  <c r="E54" i="10"/>
  <c r="P53" i="10"/>
  <c r="O53" i="10"/>
  <c r="M74" i="4" s="1"/>
  <c r="N53" i="10"/>
  <c r="K53" i="10"/>
  <c r="H53" i="10"/>
  <c r="E53" i="10"/>
  <c r="P52" i="10"/>
  <c r="O52" i="10"/>
  <c r="M65" i="4" s="1"/>
  <c r="N52" i="10"/>
  <c r="K52" i="10"/>
  <c r="H52" i="10"/>
  <c r="E52" i="10"/>
  <c r="M51" i="10"/>
  <c r="L51" i="10"/>
  <c r="J51" i="10"/>
  <c r="I51" i="10"/>
  <c r="G51" i="10"/>
  <c r="F51" i="10"/>
  <c r="E51" i="10"/>
  <c r="P49" i="10"/>
  <c r="O49" i="10"/>
  <c r="Q87" i="4" s="1"/>
  <c r="C87" i="4" s="1"/>
  <c r="Q49" i="10"/>
  <c r="Q48" i="10"/>
  <c r="P48" i="10"/>
  <c r="O48" i="10"/>
  <c r="Q86" i="4" s="1"/>
  <c r="C86" i="4" s="1"/>
  <c r="P47" i="10"/>
  <c r="O47" i="10"/>
  <c r="Q85" i="4" s="1"/>
  <c r="C85" i="4" s="1"/>
  <c r="Q47" i="10"/>
  <c r="P46" i="10"/>
  <c r="O46" i="10"/>
  <c r="Q84" i="4" s="1"/>
  <c r="C84" i="4" s="1"/>
  <c r="N46" i="10"/>
  <c r="K46" i="10"/>
  <c r="H46" i="10"/>
  <c r="E46" i="10"/>
  <c r="P45" i="10"/>
  <c r="O45" i="10"/>
  <c r="Q83" i="4" s="1"/>
  <c r="C83" i="4" s="1"/>
  <c r="N45" i="10"/>
  <c r="K45" i="10"/>
  <c r="H45" i="10"/>
  <c r="E45" i="10"/>
  <c r="P44" i="10"/>
  <c r="O44" i="10"/>
  <c r="N44" i="10"/>
  <c r="K44" i="10"/>
  <c r="H44" i="10"/>
  <c r="E44" i="10"/>
  <c r="P43" i="10"/>
  <c r="O43" i="10"/>
  <c r="Q94" i="4" s="1"/>
  <c r="N43" i="10"/>
  <c r="K43" i="10"/>
  <c r="H43" i="10"/>
  <c r="E43" i="10"/>
  <c r="P42" i="10"/>
  <c r="O42" i="10"/>
  <c r="Q74" i="4" s="1"/>
  <c r="Q48" i="4" s="1"/>
  <c r="N42" i="10"/>
  <c r="K42" i="10"/>
  <c r="H42" i="10"/>
  <c r="E42" i="10"/>
  <c r="P41" i="10"/>
  <c r="Q82" i="4"/>
  <c r="N41" i="10"/>
  <c r="K41" i="10"/>
  <c r="H41" i="10"/>
  <c r="E41" i="10"/>
  <c r="P39" i="10"/>
  <c r="O39" i="10"/>
  <c r="K91" i="4" s="1"/>
  <c r="C91" i="4" s="1"/>
  <c r="N39" i="10"/>
  <c r="K39" i="10"/>
  <c r="H39" i="10"/>
  <c r="E39" i="10"/>
  <c r="P38" i="10"/>
  <c r="O38" i="10"/>
  <c r="K94" i="4" s="1"/>
  <c r="N38" i="10"/>
  <c r="K38" i="10"/>
  <c r="H38" i="10"/>
  <c r="E38" i="10"/>
  <c r="P37" i="10"/>
  <c r="O37" i="10"/>
  <c r="K74" i="4" s="1"/>
  <c r="K48" i="4" s="1"/>
  <c r="N37" i="10"/>
  <c r="K37" i="10"/>
  <c r="H37" i="10"/>
  <c r="E37" i="10"/>
  <c r="P36" i="10"/>
  <c r="O36" i="10"/>
  <c r="K90" i="4" s="1"/>
  <c r="N36" i="10"/>
  <c r="K36" i="10"/>
  <c r="H36" i="10"/>
  <c r="E36" i="10"/>
  <c r="M35" i="10"/>
  <c r="L35" i="10"/>
  <c r="J35" i="10"/>
  <c r="I35" i="10"/>
  <c r="G35" i="10"/>
  <c r="F35" i="10"/>
  <c r="E35" i="10"/>
  <c r="P34" i="10"/>
  <c r="O34" i="10"/>
  <c r="J94" i="4" s="1"/>
  <c r="N34" i="10"/>
  <c r="K34" i="10"/>
  <c r="H34" i="10"/>
  <c r="E34" i="10"/>
  <c r="P33" i="10"/>
  <c r="O33" i="10"/>
  <c r="N33" i="10"/>
  <c r="K33" i="10"/>
  <c r="H33" i="10"/>
  <c r="E33" i="10"/>
  <c r="P32" i="10"/>
  <c r="O32" i="10"/>
  <c r="J74" i="4" s="1"/>
  <c r="J48" i="4" s="1"/>
  <c r="N32" i="10"/>
  <c r="K32" i="10"/>
  <c r="H32" i="10"/>
  <c r="E32" i="10"/>
  <c r="P31" i="10"/>
  <c r="O31" i="10"/>
  <c r="J89" i="4" s="1"/>
  <c r="N31" i="10"/>
  <c r="K31" i="10"/>
  <c r="H31" i="10"/>
  <c r="E31" i="10"/>
  <c r="M30" i="10"/>
  <c r="L30" i="10"/>
  <c r="J30" i="10"/>
  <c r="I30" i="10"/>
  <c r="G30" i="10"/>
  <c r="F30" i="10"/>
  <c r="E30" i="10"/>
  <c r="N29" i="10"/>
  <c r="K29" i="10"/>
  <c r="H29" i="10"/>
  <c r="E29" i="10"/>
  <c r="N28" i="10"/>
  <c r="K28" i="10"/>
  <c r="H28" i="10"/>
  <c r="E28" i="10"/>
  <c r="N27" i="10"/>
  <c r="K27" i="10"/>
  <c r="H27" i="10"/>
  <c r="E27" i="10"/>
  <c r="P26" i="10"/>
  <c r="O26" i="10"/>
  <c r="I80" i="4" s="1"/>
  <c r="N26" i="10"/>
  <c r="K26" i="10"/>
  <c r="H26" i="10"/>
  <c r="E26" i="10"/>
  <c r="M25" i="10"/>
  <c r="L25" i="10"/>
  <c r="J25" i="10"/>
  <c r="I25" i="10"/>
  <c r="G25" i="10"/>
  <c r="F25" i="10"/>
  <c r="E25" i="10"/>
  <c r="E24" i="10"/>
  <c r="Q24" i="10" s="1"/>
  <c r="Q23" i="10" s="1"/>
  <c r="N23" i="10"/>
  <c r="M23" i="10"/>
  <c r="L23" i="10"/>
  <c r="K23" i="10"/>
  <c r="J23" i="10"/>
  <c r="I23" i="10"/>
  <c r="H23" i="10"/>
  <c r="G23" i="10"/>
  <c r="F23" i="10"/>
  <c r="E23" i="10"/>
  <c r="E22" i="10"/>
  <c r="Q22" i="10" s="1"/>
  <c r="Q21" i="10" s="1"/>
  <c r="N21" i="10"/>
  <c r="M21" i="10"/>
  <c r="L21" i="10"/>
  <c r="K21" i="10"/>
  <c r="J21" i="10"/>
  <c r="I21" i="10"/>
  <c r="H21" i="10"/>
  <c r="G21" i="10"/>
  <c r="F21" i="10"/>
  <c r="E21" i="10"/>
  <c r="E20" i="10"/>
  <c r="Q20" i="10" s="1"/>
  <c r="E19" i="10"/>
  <c r="Q19" i="10" s="1"/>
  <c r="E17" i="10"/>
  <c r="Q17" i="10" s="1"/>
  <c r="E16" i="10"/>
  <c r="Q16" i="10" s="1"/>
  <c r="P15" i="10"/>
  <c r="O15" i="10"/>
  <c r="E15" i="10"/>
  <c r="N14" i="10"/>
  <c r="M14" i="10"/>
  <c r="L14" i="10"/>
  <c r="K14" i="10"/>
  <c r="J14" i="10"/>
  <c r="I14" i="10"/>
  <c r="H14" i="10"/>
  <c r="G14" i="10"/>
  <c r="F14" i="10"/>
  <c r="D14" i="10"/>
  <c r="D13" i="10" s="1"/>
  <c r="D9" i="10" s="1"/>
  <c r="C14" i="10"/>
  <c r="Q12" i="10"/>
  <c r="P12" i="10"/>
  <c r="O12" i="10"/>
  <c r="Q11" i="10"/>
  <c r="P11" i="10"/>
  <c r="O11" i="10"/>
  <c r="P89" i="10" l="1"/>
  <c r="C94" i="4"/>
  <c r="C59" i="4"/>
  <c r="C33" i="4"/>
  <c r="G32" i="4"/>
  <c r="C32" i="4" s="1"/>
  <c r="G48" i="4"/>
  <c r="C74" i="4"/>
  <c r="C80" i="4"/>
  <c r="I79" i="4"/>
  <c r="C90" i="4"/>
  <c r="K79" i="4"/>
  <c r="C82" i="4"/>
  <c r="Q79" i="4"/>
  <c r="C65" i="4"/>
  <c r="M56" i="4"/>
  <c r="C89" i="4"/>
  <c r="J79" i="4"/>
  <c r="C76" i="4"/>
  <c r="L75" i="4"/>
  <c r="C75" i="4" s="1"/>
  <c r="K40" i="10"/>
  <c r="Q29" i="10"/>
  <c r="Q37" i="10"/>
  <c r="N40" i="10"/>
  <c r="Q83" i="10"/>
  <c r="Q88" i="10"/>
  <c r="Q91" i="10"/>
  <c r="O21" i="10"/>
  <c r="P23" i="10"/>
  <c r="Q26" i="10"/>
  <c r="E40" i="10"/>
  <c r="K51" i="10"/>
  <c r="H59" i="10"/>
  <c r="Q80" i="10"/>
  <c r="P39" i="4"/>
  <c r="F38" i="4"/>
  <c r="O23" i="10"/>
  <c r="G69" i="10"/>
  <c r="P69" i="10" s="1"/>
  <c r="P21" i="10"/>
  <c r="H40" i="10"/>
  <c r="Q82" i="10"/>
  <c r="Q90" i="10"/>
  <c r="Q89" i="10" s="1"/>
  <c r="Q28" i="10"/>
  <c r="O89" i="10"/>
  <c r="C13" i="10"/>
  <c r="C9" i="10" s="1"/>
  <c r="C8" i="10" s="1"/>
  <c r="C30" i="1"/>
  <c r="Q31" i="10"/>
  <c r="Q33" i="10"/>
  <c r="O40" i="10"/>
  <c r="R47" i="10" s="1"/>
  <c r="Q58" i="10"/>
  <c r="Q86" i="10"/>
  <c r="P40" i="10"/>
  <c r="H78" i="10"/>
  <c r="K78" i="10"/>
  <c r="K89" i="10"/>
  <c r="Q92" i="10"/>
  <c r="C45" i="1"/>
  <c r="Q27" i="10"/>
  <c r="N89" i="10"/>
  <c r="P78" i="10"/>
  <c r="Q72" i="10"/>
  <c r="Q70" i="10"/>
  <c r="Q65" i="10"/>
  <c r="R64" i="10" s="1"/>
  <c r="Q52" i="10"/>
  <c r="Q68" i="10"/>
  <c r="Q74" i="10"/>
  <c r="N78" i="10"/>
  <c r="Q79" i="10"/>
  <c r="Q85" i="10"/>
  <c r="K84" i="10"/>
  <c r="D8" i="10"/>
  <c r="N84" i="10"/>
  <c r="Q77" i="10"/>
  <c r="P60" i="4" s="1"/>
  <c r="C60" i="4" s="1"/>
  <c r="O84" i="10"/>
  <c r="C32" i="1" s="1"/>
  <c r="H84" i="10"/>
  <c r="O78" i="10"/>
  <c r="C33" i="1" s="1"/>
  <c r="H51" i="10"/>
  <c r="Q63" i="10"/>
  <c r="K35" i="10"/>
  <c r="Q57" i="10"/>
  <c r="Q55" i="10"/>
  <c r="P59" i="10"/>
  <c r="Q73" i="10"/>
  <c r="N59" i="10"/>
  <c r="K59" i="10"/>
  <c r="O59" i="10"/>
  <c r="C38" i="1" s="1"/>
  <c r="Q61" i="10"/>
  <c r="Q53" i="10"/>
  <c r="J13" i="10"/>
  <c r="J9" i="10" s="1"/>
  <c r="J8" i="10" s="1"/>
  <c r="J119" i="10" s="1"/>
  <c r="P51" i="10"/>
  <c r="O51" i="10"/>
  <c r="C39" i="1" s="1"/>
  <c r="Q56" i="10"/>
  <c r="Q38" i="10"/>
  <c r="K30" i="10"/>
  <c r="N30" i="10"/>
  <c r="Q43" i="10"/>
  <c r="Q42" i="10"/>
  <c r="K25" i="10"/>
  <c r="H30" i="10"/>
  <c r="P30" i="10"/>
  <c r="I13" i="10"/>
  <c r="I9" i="10" s="1"/>
  <c r="I8" i="10" s="1"/>
  <c r="Q45" i="10"/>
  <c r="H35" i="10"/>
  <c r="N35" i="10"/>
  <c r="Q39" i="10"/>
  <c r="P35" i="10"/>
  <c r="O35" i="10"/>
  <c r="C37" i="1" s="1"/>
  <c r="Q36" i="10"/>
  <c r="M13" i="10"/>
  <c r="O30" i="10"/>
  <c r="C36" i="1" s="1"/>
  <c r="L13" i="10"/>
  <c r="L9" i="10" s="1"/>
  <c r="L8" i="10" s="1"/>
  <c r="Q32" i="10"/>
  <c r="F13" i="10"/>
  <c r="F9" i="10" s="1"/>
  <c r="F8" i="10" s="1"/>
  <c r="P25" i="10"/>
  <c r="H25" i="10"/>
  <c r="O25" i="10"/>
  <c r="C35" i="1" s="1"/>
  <c r="Q46" i="10"/>
  <c r="Q44" i="10"/>
  <c r="Q54" i="10"/>
  <c r="Q62" i="10"/>
  <c r="Q66" i="10"/>
  <c r="Q76" i="10"/>
  <c r="Q34" i="10"/>
  <c r="P14" i="10"/>
  <c r="O14" i="10"/>
  <c r="E14" i="10"/>
  <c r="O64" i="10"/>
  <c r="C40" i="1" s="1"/>
  <c r="K71" i="10"/>
  <c r="Q71" i="10" s="1"/>
  <c r="Q15" i="10"/>
  <c r="Q14" i="10" s="1"/>
  <c r="N25" i="10"/>
  <c r="N51" i="10"/>
  <c r="Q60" i="10"/>
  <c r="P71" i="10"/>
  <c r="K75" i="10"/>
  <c r="Q75" i="10" s="1"/>
  <c r="N67" i="10"/>
  <c r="Q67" i="10" s="1"/>
  <c r="Q41" i="10"/>
  <c r="R48" i="10" l="1"/>
  <c r="C42" i="1"/>
  <c r="R48" i="4"/>
  <c r="C41" i="1"/>
  <c r="R49" i="10"/>
  <c r="C38" i="4"/>
  <c r="F37" i="4"/>
  <c r="M48" i="4"/>
  <c r="P56" i="4"/>
  <c r="P48" i="4" s="1"/>
  <c r="C39" i="4"/>
  <c r="P37" i="4"/>
  <c r="Q78" i="10"/>
  <c r="Q25" i="10"/>
  <c r="H69" i="10"/>
  <c r="Q69" i="10" s="1"/>
  <c r="Q64" i="10" s="1"/>
  <c r="E13" i="10"/>
  <c r="E9" i="10" s="1"/>
  <c r="E8" i="10" s="1"/>
  <c r="G64" i="10"/>
  <c r="G13" i="10" s="1"/>
  <c r="G9" i="10" s="1"/>
  <c r="G8" i="10" s="1"/>
  <c r="G119" i="10" s="1"/>
  <c r="Q40" i="10"/>
  <c r="H64" i="10"/>
  <c r="H13" i="10" s="1"/>
  <c r="H9" i="10" s="1"/>
  <c r="H8" i="10" s="1"/>
  <c r="O13" i="10"/>
  <c r="O9" i="10" s="1"/>
  <c r="O8" i="10" s="1"/>
  <c r="M9" i="10"/>
  <c r="M8" i="10" s="1"/>
  <c r="M119" i="10" s="1"/>
  <c r="Q84" i="10"/>
  <c r="P64" i="10"/>
  <c r="P13" i="10" s="1"/>
  <c r="Q51" i="10"/>
  <c r="Q30" i="10"/>
  <c r="Q35" i="10"/>
  <c r="Q59" i="10"/>
  <c r="N64" i="10"/>
  <c r="N13" i="10" s="1"/>
  <c r="K64" i="10"/>
  <c r="K13" i="10" s="1"/>
  <c r="K9" i="10" s="1"/>
  <c r="K8" i="10" s="1"/>
  <c r="R9" i="10" l="1"/>
  <c r="R16" i="10"/>
  <c r="R17" i="10" s="1"/>
  <c r="C48" i="4"/>
  <c r="C56" i="4"/>
  <c r="C37" i="4"/>
  <c r="P9" i="10"/>
  <c r="P8" i="10" s="1"/>
  <c r="R28" i="10"/>
  <c r="R29" i="10" s="1"/>
  <c r="Q13" i="10"/>
  <c r="Q9" i="10" s="1"/>
  <c r="Q8" i="10" s="1"/>
  <c r="N9" i="10"/>
  <c r="N8" i="10" s="1"/>
  <c r="R11" i="10" l="1"/>
  <c r="R12" i="10"/>
  <c r="L8" i="11"/>
  <c r="R31" i="10"/>
  <c r="D9" i="8"/>
  <c r="D10" i="8"/>
  <c r="D11" i="8"/>
  <c r="D12" i="8"/>
  <c r="D13" i="8"/>
  <c r="D14" i="8"/>
  <c r="D15" i="8"/>
  <c r="D16" i="8"/>
  <c r="D17" i="8"/>
  <c r="D18" i="8"/>
  <c r="D19" i="8"/>
  <c r="D20" i="8"/>
  <c r="D21" i="8"/>
  <c r="D22" i="8"/>
  <c r="D23" i="8"/>
  <c r="D24" i="8"/>
  <c r="D25" i="8"/>
  <c r="D26" i="8"/>
  <c r="D27" i="8"/>
  <c r="D28" i="8"/>
  <c r="D29" i="8"/>
  <c r="D30" i="8"/>
  <c r="D31" i="8"/>
  <c r="D36" i="8"/>
  <c r="D8" i="8"/>
  <c r="R13" i="10" l="1"/>
  <c r="A3" i="10"/>
  <c r="C14" i="4" l="1"/>
  <c r="D25" i="4"/>
  <c r="E25" i="4"/>
  <c r="E24" i="4" s="1"/>
  <c r="F25" i="4"/>
  <c r="F24" i="4" s="1"/>
  <c r="G25" i="4"/>
  <c r="G24" i="4" s="1"/>
  <c r="H25" i="4"/>
  <c r="H24" i="4" s="1"/>
  <c r="I25" i="4"/>
  <c r="I24" i="4" s="1"/>
  <c r="J25" i="4"/>
  <c r="J24" i="4" s="1"/>
  <c r="K25" i="4"/>
  <c r="K24" i="4" s="1"/>
  <c r="L25" i="4"/>
  <c r="L24" i="4" s="1"/>
  <c r="M25" i="4"/>
  <c r="M24" i="4" s="1"/>
  <c r="N25" i="4"/>
  <c r="N24" i="4" s="1"/>
  <c r="O25" i="4"/>
  <c r="O24" i="4" s="1"/>
  <c r="P25" i="4"/>
  <c r="P24" i="4" s="1"/>
  <c r="Q25" i="4"/>
  <c r="Q24" i="4" s="1"/>
  <c r="R25" i="4"/>
  <c r="R24" i="4" s="1"/>
  <c r="E19" i="4"/>
  <c r="E18" i="4" s="1"/>
  <c r="F19" i="4"/>
  <c r="F18" i="4" s="1"/>
  <c r="G19" i="4"/>
  <c r="G18" i="4" s="1"/>
  <c r="H19" i="4"/>
  <c r="H18" i="4" s="1"/>
  <c r="I19" i="4"/>
  <c r="J19" i="4"/>
  <c r="K19" i="4"/>
  <c r="L19" i="4"/>
  <c r="L18" i="4" s="1"/>
  <c r="M19" i="4"/>
  <c r="M18" i="4" s="1"/>
  <c r="N19" i="4"/>
  <c r="N18" i="4" s="1"/>
  <c r="O19" i="4"/>
  <c r="O18" i="4" s="1"/>
  <c r="P19" i="4"/>
  <c r="P18" i="4" s="1"/>
  <c r="Q19" i="4"/>
  <c r="Q18" i="4" s="1"/>
  <c r="R19" i="4"/>
  <c r="R18" i="4" s="1"/>
  <c r="E13" i="4"/>
  <c r="E12" i="4" s="1"/>
  <c r="E11" i="4" s="1"/>
  <c r="E10" i="4" s="1"/>
  <c r="F13" i="4"/>
  <c r="F12" i="4" s="1"/>
  <c r="F11" i="4" s="1"/>
  <c r="F10" i="4" s="1"/>
  <c r="G13" i="4"/>
  <c r="G12" i="4" s="1"/>
  <c r="H13" i="4"/>
  <c r="H12" i="4" s="1"/>
  <c r="I13" i="4"/>
  <c r="I12" i="4" s="1"/>
  <c r="J13" i="4"/>
  <c r="J12" i="4" s="1"/>
  <c r="J11" i="4" s="1"/>
  <c r="J10" i="4" s="1"/>
  <c r="K13" i="4"/>
  <c r="K12" i="4" s="1"/>
  <c r="L13" i="4"/>
  <c r="L12" i="4" s="1"/>
  <c r="M13" i="4"/>
  <c r="M12" i="4" s="1"/>
  <c r="N13" i="4"/>
  <c r="N12" i="4" s="1"/>
  <c r="O13" i="4"/>
  <c r="O12" i="4" s="1"/>
  <c r="P13" i="4"/>
  <c r="P12" i="4" s="1"/>
  <c r="Q13" i="4"/>
  <c r="Q12" i="4" s="1"/>
  <c r="R13" i="4"/>
  <c r="R12" i="4" s="1"/>
  <c r="R11" i="4" s="1"/>
  <c r="R10" i="4" s="1"/>
  <c r="I18" i="4"/>
  <c r="J18" i="4"/>
  <c r="K18" i="4"/>
  <c r="D13" i="4"/>
  <c r="Q11" i="4" l="1"/>
  <c r="Q10" i="4" s="1"/>
  <c r="I11" i="4"/>
  <c r="I10" i="4" s="1"/>
  <c r="N11" i="4"/>
  <c r="N10" i="4" s="1"/>
  <c r="M11" i="4"/>
  <c r="M10" i="4" s="1"/>
  <c r="H11" i="4"/>
  <c r="H10" i="4" s="1"/>
  <c r="P11" i="4"/>
  <c r="L11" i="4"/>
  <c r="L10" i="4" s="1"/>
  <c r="C25" i="4"/>
  <c r="G11" i="4"/>
  <c r="G10" i="4" s="1"/>
  <c r="O11" i="4"/>
  <c r="O10" i="4" s="1"/>
  <c r="K11" i="4"/>
  <c r="K10" i="4" s="1"/>
  <c r="C13" i="4"/>
  <c r="C12" i="4" s="1"/>
  <c r="D24" i="4"/>
  <c r="C24" i="4" s="1"/>
  <c r="D19" i="4"/>
  <c r="P10" i="4" l="1"/>
  <c r="T30" i="4" s="1"/>
  <c r="T31" i="4"/>
  <c r="D18" i="4"/>
  <c r="C18" i="4" s="1"/>
  <c r="C19" i="4"/>
  <c r="D12" i="4"/>
  <c r="A4" i="4"/>
  <c r="C29" i="1" l="1"/>
  <c r="C11" i="1" s="1"/>
  <c r="C9" i="1" s="1"/>
  <c r="C88" i="4"/>
  <c r="D79" i="4"/>
  <c r="C79" i="4" s="1"/>
  <c r="C11" i="4" s="1"/>
  <c r="C10" i="4" s="1"/>
  <c r="D11" i="4" l="1"/>
  <c r="D10" i="4" s="1"/>
  <c r="T11" i="4"/>
  <c r="U10" i="4"/>
</calcChain>
</file>

<file path=xl/comments1.xml><?xml version="1.0" encoding="utf-8"?>
<comments xmlns="http://schemas.openxmlformats.org/spreadsheetml/2006/main">
  <authors>
    <author>Admini</author>
  </authors>
  <commentList>
    <comment ref="L40" authorId="0" shapeId="0">
      <text>
        <r>
          <rPr>
            <b/>
            <sz val="9"/>
            <color indexed="81"/>
            <rFont val="Tahoma"/>
            <family val="2"/>
          </rPr>
          <t>Admini:</t>
        </r>
        <r>
          <rPr>
            <sz val="9"/>
            <color indexed="81"/>
            <rFont val="Tahoma"/>
            <family val="2"/>
          </rPr>
          <t xml:space="preserve">
100,849</t>
        </r>
      </text>
    </comment>
  </commentList>
</comments>
</file>

<file path=xl/comments2.xml><?xml version="1.0" encoding="utf-8"?>
<comments xmlns="http://schemas.openxmlformats.org/spreadsheetml/2006/main">
  <authors>
    <author>VNN.R9</author>
  </authors>
  <commentList>
    <comment ref="D96" authorId="0" shapeId="0">
      <text>
        <r>
          <rPr>
            <b/>
            <sz val="9"/>
            <color indexed="81"/>
            <rFont val="Tahoma"/>
            <family val="2"/>
          </rPr>
          <t>VNN.R9:</t>
        </r>
        <r>
          <rPr>
            <sz val="9"/>
            <color indexed="81"/>
            <rFont val="Tahoma"/>
            <family val="2"/>
          </rPr>
          <t xml:space="preserve">40 TR CỦA HUYỆN
</t>
        </r>
      </text>
    </comment>
    <comment ref="G141" authorId="0" shapeId="0">
      <text>
        <r>
          <rPr>
            <b/>
            <sz val="9"/>
            <color indexed="81"/>
            <rFont val="Tahoma"/>
            <family val="2"/>
          </rPr>
          <t xml:space="preserve">nop tra
</t>
        </r>
        <r>
          <rPr>
            <sz val="9"/>
            <color indexed="81"/>
            <rFont val="Tahoma"/>
            <family val="2"/>
          </rPr>
          <t xml:space="preserve">
</t>
        </r>
      </text>
    </comment>
  </commentList>
</comments>
</file>

<file path=xl/sharedStrings.xml><?xml version="1.0" encoding="utf-8"?>
<sst xmlns="http://schemas.openxmlformats.org/spreadsheetml/2006/main" count="605" uniqueCount="341">
  <si>
    <t>Đơn vị: Triệu đồng</t>
  </si>
  <si>
    <t>STT</t>
  </si>
  <si>
    <t>Nội dung</t>
  </si>
  <si>
    <t>Dự toán</t>
  </si>
  <si>
    <t>A</t>
  </si>
  <si>
    <t>B</t>
  </si>
  <si>
    <t>TỔNG CHI NSĐP</t>
  </si>
  <si>
    <t>I</t>
  </si>
  <si>
    <t>Chi đầu tư cho các dự án</t>
  </si>
  <si>
    <t>-</t>
  </si>
  <si>
    <t>Chi giáo dục - đào tạo và dạy nghề</t>
  </si>
  <si>
    <t>Chi khoa học và công nghệ</t>
  </si>
  <si>
    <t>Chi quốc phòng</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</si>
  <si>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</si>
  <si>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</si>
  <si>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</si>
  <si>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</si>
  <si>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</si>
  <si>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</si>
  <si>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</si>
  <si>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 xml:space="preserve">Chi hoạt động của cơ quan quản lý nhà nước, đảng, đoàn thể </t>
  </si>
  <si>
    <t>Chi bảo đảm xã hội</t>
  </si>
  <si>
    <t>Chi đầu tư khác</t>
  </si>
  <si>
    <t>Chi đầu tư và hỗ trợ vốn cho các doanh nghiệp cung cấp sản phẩm, dịch vụ công ích do Nhà nước đặt hàng, các tổ chức kinh tế,</t>
  </si>
  <si>
    <t>Chi đầu tư phát triển khác</t>
  </si>
  <si>
    <t>II</t>
  </si>
  <si>
    <t>Chi thường xuyên</t>
  </si>
  <si>
    <t>Chi hoạt động của cơ quan quản lý nhà nước, đảng, đoàn thể</t>
  </si>
  <si>
    <t>Chi thường xuyên khác</t>
  </si>
  <si>
    <t>III</t>
  </si>
  <si>
    <t>IV</t>
  </si>
  <si>
    <t>V</t>
  </si>
  <si>
    <t>Dự phòng ngân sách</t>
  </si>
  <si>
    <t>VI</t>
  </si>
  <si>
    <t>Chi tạo nguồn, điều chỉnh tiền lương</t>
  </si>
  <si>
    <t>C</t>
  </si>
  <si>
    <t>CHI CHUYỂN NGUỒN SANG NĂM SAU</t>
  </si>
  <si>
    <t>Tên đơn vị</t>
  </si>
  <si>
    <t>Tổng số</t>
  </si>
  <si>
    <t>TỔNG SỐ</t>
  </si>
  <si>
    <t>VII</t>
  </si>
  <si>
    <t>Trong đó</t>
  </si>
  <si>
    <t>Chi giao thông</t>
  </si>
  <si>
    <t>Chi nông nghiệp, lâm nghiệp, thủy lợi, thủy sản</t>
  </si>
  <si>
    <t>Biểu mẫu số 37</t>
  </si>
  <si>
    <t>DỰ TOÁN CHI NGÂN SÁCH CẤP XÃ THEO LĨNH VỰC NĂM 2025</t>
  </si>
  <si>
    <t xml:space="preserve">CHI BỔ SUNG CÂN ĐỐI CHO NGÂN SÁCH CẤP DƯỚI </t>
  </si>
  <si>
    <t>CHI NGÂN SÁCH CẤP XÃ THEO LĨNH VỰC</t>
  </si>
  <si>
    <t xml:space="preserve">Chi đầu tư phát triển </t>
  </si>
  <si>
    <t xml:space="preserve">Chi khoa học và công nghệ </t>
  </si>
  <si>
    <t>(1)</t>
  </si>
  <si>
    <t xml:space="preserve">Chi bổ sung quỹ dự trữ tài chính </t>
  </si>
  <si>
    <t>Chi trả nợ lãi các khoản do chính quyền địa phương vay</t>
  </si>
  <si>
    <t>DỰ TOÁN CHI THƯỜNG XUYÊN CỦA NGÂN SÁCH CẤP  XÃ CHO TỪNG CƠ QUAN, TỔ CHỨC THEO LĨNH VỰC NĂM 2025</t>
  </si>
  <si>
    <t>BẬC MẦM NON</t>
  </si>
  <si>
    <t>Các đơn vị trường:</t>
  </si>
  <si>
    <t>Trường Mầm non 17/3</t>
  </si>
  <si>
    <t>Trường Mầm non Họa Mi</t>
  </si>
  <si>
    <t>Trường Mầm non Sơn Thượng</t>
  </si>
  <si>
    <t>Trường Mầm non Hướng Dương</t>
  </si>
  <si>
    <t>BẬC TIỂU HỌC</t>
  </si>
  <si>
    <t>Trường TH TT Di Lăng số I</t>
  </si>
  <si>
    <t>Trường TH TT Di Lăng II</t>
  </si>
  <si>
    <t>Trường TH Sơn Thượng</t>
  </si>
  <si>
    <t>Trường TH&amp;THCS Sơn Bao</t>
  </si>
  <si>
    <t>BẬC THCS</t>
  </si>
  <si>
    <t>Trường THCS TT Di Lăng</t>
  </si>
  <si>
    <t>Trường PT DTNT THCS Sơn Hà</t>
  </si>
  <si>
    <t>Trường THCS Sơn Thượng</t>
  </si>
  <si>
    <t>ĐẢNG ỦY XÃ</t>
  </si>
  <si>
    <t>ỦY BAN MẶT TRẬN TỔ QUỐC XÃ</t>
  </si>
  <si>
    <t>TRUNG TÂM PHỤC VỤ HÀNH CHÍNH CÔNG</t>
  </si>
  <si>
    <t>TRUNG TÂM CUNG ỨNG DỊCH VỤ CÔNG</t>
  </si>
  <si>
    <t>Chi hoạt động cân đối</t>
  </si>
  <si>
    <t>Kinh phí thực hiện chính sách khuyến khích sử dụng hình thức hỏa táng theo Nghị quyết số 29/2024/NQ-HĐND</t>
  </si>
  <si>
    <t>Sơn Thượng</t>
  </si>
  <si>
    <t>Sơn Bao</t>
  </si>
  <si>
    <t>VIII</t>
  </si>
  <si>
    <t>IX</t>
  </si>
  <si>
    <t>DỰ PHÒNG CHI</t>
  </si>
  <si>
    <t>TIẾT KIỆM CHI</t>
  </si>
  <si>
    <t>X</t>
  </si>
  <si>
    <t>QŨY THI ĐUA KHEN THƯỞNG</t>
  </si>
  <si>
    <t>CÔNG AN XÃ</t>
  </si>
  <si>
    <t>BAN QUÂN SỰ XÃ</t>
  </si>
  <si>
    <t>VĂN PHÒNG UBND VÀ HĐND</t>
  </si>
  <si>
    <t>XI</t>
  </si>
  <si>
    <t>XII</t>
  </si>
  <si>
    <t>- Phòng Văn hóa</t>
  </si>
  <si>
    <t>- Phòng Kinh tế</t>
  </si>
  <si>
    <t>Chỉ tiêu</t>
  </si>
  <si>
    <t>Thuế giá trị gia tăng</t>
  </si>
  <si>
    <t>Thuế thu nhập doanh nghiệp</t>
  </si>
  <si>
    <t>Thuế sử dụng đất phi nông nghiệp</t>
  </si>
  <si>
    <t>Thuế thu nhập cá nhân</t>
  </si>
  <si>
    <t>Thu khác ngân sách</t>
  </si>
  <si>
    <t>Biểu mẫu số 03</t>
  </si>
  <si>
    <t>TT</t>
  </si>
  <si>
    <t>Nội dung chi</t>
  </si>
  <si>
    <t>a</t>
  </si>
  <si>
    <t>Chi sự nghiệp đào tạo</t>
  </si>
  <si>
    <t>Chi sự nghiệp y tế, dân số và gia đình</t>
  </si>
  <si>
    <t>Chi sự nghiệp văn hóa thông tin</t>
  </si>
  <si>
    <t>Chi sự nghiệp phát thanh, truyền hình, thông tấn</t>
  </si>
  <si>
    <t>Chi sự nghiệp thể dục thể thao</t>
  </si>
  <si>
    <t>b</t>
  </si>
  <si>
    <t>Chi sự nghiệp đảm bảo xã hội</t>
  </si>
  <si>
    <t>Chi sự nghiệp kinh tế</t>
  </si>
  <si>
    <t>Chi sự nghiệp môi trường</t>
  </si>
  <si>
    <t>Chi quản lý hành chính nhà nước, đảng, đoàn thể</t>
  </si>
  <si>
    <t>Chi An ninh</t>
  </si>
  <si>
    <t>Chi Quốc phòng</t>
  </si>
  <si>
    <t xml:space="preserve">Chi đầu tư xây dựng cơ bản theo phân cấp        </t>
  </si>
  <si>
    <t xml:space="preserve">Chi từ nguồn thu tiền sử dụng đất </t>
  </si>
  <si>
    <t xml:space="preserve">Chi thường xuyên khác </t>
  </si>
  <si>
    <t>Bổ sung cân đối</t>
  </si>
  <si>
    <t>Bổ sung có mục tiêu</t>
  </si>
  <si>
    <t>DỰ TOÁN THU NGÂN SÁCH NHÀ NƯỚC NĂM 2025 SAU SẮP XẾP CỦA XÃ SƠN HÀ</t>
  </si>
  <si>
    <t>Đơn vị tính: đồng</t>
  </si>
  <si>
    <t>Thị trấn Di Lăng</t>
  </si>
  <si>
    <t>Xã Sơn Thượng</t>
  </si>
  <si>
    <t>Xã Sơn Bao</t>
  </si>
  <si>
    <t>Tổng thu NSNN trên địa bàn</t>
  </si>
  <si>
    <t>Thu từ khu vực công thương nghiệp, dịch vụ ngoài quốc doanh (*)</t>
  </si>
  <si>
    <t>Thuế tiêu thụ đặc biệt hàng nội địa</t>
  </si>
  <si>
    <t>Thuế Tài nguyên (**)</t>
  </si>
  <si>
    <t xml:space="preserve">Lệ phí trước bạ </t>
  </si>
  <si>
    <t>Thu phí, lệ phí (không bao gồm án phí)</t>
  </si>
  <si>
    <t>Trong đó: Phí bảo vệ môi trường đối với khai thác khoáng sản</t>
  </si>
  <si>
    <t>Thu tiền sử dụng đất (***)</t>
  </si>
  <si>
    <t>Thu cấp quyền khai thác khoáng sản</t>
  </si>
  <si>
    <t>Thu tiền cho thuê đất</t>
  </si>
  <si>
    <t>Thu từ sắp xếp lại, xử lý nhà, đất thuộc sở hữu nhà nước</t>
  </si>
  <si>
    <t>Trong đó: Thu phạt ATGT</t>
  </si>
  <si>
    <t xml:space="preserve">Thu tại xã </t>
  </si>
  <si>
    <t xml:space="preserve">Thu từ các xí nghiệp quốc doanh </t>
  </si>
  <si>
    <t>Tổng thu ngân sách xã (1)+(2)</t>
  </si>
  <si>
    <t>Thu cân đối ngân sách xã (a)+(b)</t>
  </si>
  <si>
    <t>Các khoản thu cân đối NS xã được hưởng theo phân cấp</t>
  </si>
  <si>
    <t>Các khoản thu NS xã hưởng 100%</t>
  </si>
  <si>
    <t>Các khoản thu phân chia NS xã hưởng theo tỷ lệ %</t>
  </si>
  <si>
    <t>Bổ sung nguồn CCTL và chế độ phụ cấp</t>
  </si>
  <si>
    <t xml:space="preserve">Thu để lại chi quản lý qua ngân sách nhà nước </t>
  </si>
  <si>
    <r>
      <t xml:space="preserve">Ghi chú: </t>
    </r>
    <r>
      <rPr>
        <sz val="10"/>
        <rFont val="Times New Roman"/>
        <family val="1"/>
      </rPr>
      <t>Không thay đổi nội dung, thứ tự trong Biểu</t>
    </r>
  </si>
  <si>
    <t>Văn phòng HĐND và UBND xã (UBND xã điều hành)</t>
  </si>
  <si>
    <t>Văn phòng HĐND và UBND xã (HĐND xã điều hành)</t>
  </si>
  <si>
    <t xml:space="preserve"> - Kinh phí đã sử dụng 6 tháng đầu năm</t>
  </si>
  <si>
    <t>- Kinh phí phân bổ 6 tháng cuối năm</t>
  </si>
  <si>
    <t>- Đội CTXHTN (Kinh phí đã sử dụng 6 tháng đầu năm)</t>
  </si>
  <si>
    <t>- Đội CTXHTN (Kinh phí phân bổ 6 tháng cuối năm)</t>
  </si>
  <si>
    <t>- Mua sắm tài sản (Kinh phí đã sử dụng 6 tháng đầu năm)</t>
  </si>
  <si>
    <t>- Mua sắm tài sản (Kinh phí phân bổ 6 tháng cuối năm)</t>
  </si>
  <si>
    <t>- Kinh phí 1 cửa (Kinh phí đã sử dụng 6 tháng đầu năm)</t>
  </si>
  <si>
    <t>- Kinh phí 1 cửa (Kinh phí phân bổ 6 tháng cuối năm)</t>
  </si>
  <si>
    <t>Dự toán UBND huyện Sơn Hà giao
 năm 2025 cho các xã trước khi sắp xếp</t>
  </si>
  <si>
    <t>Dự toán  năm 2025 xã giao</t>
  </si>
  <si>
    <t>2=3+4+5</t>
  </si>
  <si>
    <t>Biểu số 01</t>
  </si>
  <si>
    <t>Biểu mẫu số 04</t>
  </si>
  <si>
    <t>DỰ TOÁN CHI NGÂN SÁCH CẤP XÃ NĂM 2025
 CỦA XÃ SƠN HẠ</t>
  </si>
  <si>
    <t>Dự toán cấp huyện chuyển về xã</t>
  </si>
  <si>
    <t>Dự toán  huyện giao</t>
  </si>
  <si>
    <t>Dự toán đã thực hiện đến ngày 30/6/2025</t>
  </si>
  <si>
    <t>Dự toán còn lại</t>
  </si>
  <si>
    <t>Chi đầu tư (*)</t>
  </si>
  <si>
    <t xml:space="preserve">Chi sự nghiệp giáo dục và đào tạo </t>
  </si>
  <si>
    <t>Kinh phí chi sự nghiệp giáo dục (Lương + hoạt động)</t>
  </si>
  <si>
    <t>Kinh phí hỗ trợ trẻ khuyết tật theo Thông tư số 42/2013/TTLT-BGDĐT-BLĐTBXH-BTC</t>
  </si>
  <si>
    <t>Chính sách miễn giảm học phí và hỗ trợ chi phí học tập theo Nghị định số 81/2021/NĐ-CP</t>
  </si>
  <si>
    <t>Chính sách phát triển giáo dục mầm non theo Nghị định số 105/2020/NĐ-CP</t>
  </si>
  <si>
    <t>Nhiệm vụ…</t>
  </si>
  <si>
    <t>KP khu dân cư và Ban chỉ đạo</t>
  </si>
  <si>
    <t>KP hoạt động sự nghiệp văn hóa thông tin</t>
  </si>
  <si>
    <t>Quỹ thi đua khen thưởng</t>
  </si>
  <si>
    <t>Tiết kiệm bù hụt thu năm 2024</t>
  </si>
  <si>
    <t>Đại hội thể dục thể thao</t>
  </si>
  <si>
    <t>KP hỗ trợ chúc thọ cho người cao tuổi</t>
  </si>
  <si>
    <t>Kinh phí hỗ trợ cộng tác viên bảo vệ,chăm sóc và giáo dục trẻ em ở thôn, tổ dân phố</t>
  </si>
  <si>
    <t>Bảo trợ xã hội theo Nghị định số 20/2021/NĐ-CP</t>
  </si>
  <si>
    <t>Hỗ trợ tiền điện cho hộ nghèo, hộ CSXH</t>
  </si>
  <si>
    <t>Chế độ thù lao cá nhân chi trả trợ cấp BTXH theo QĐ số 1133/QĐ-UBND ngày 27/6/2016</t>
  </si>
  <si>
    <t>KP hỗ trợ cho ngân sách cấp xã tổ
 chức bảo vệ rừng tại cơ sở theo QĐ số 02</t>
  </si>
  <si>
    <t>Vốn đối ứng NS huyện hỗ trợ làm đường GTNT năm 2025</t>
  </si>
  <si>
    <t>Kinh phí làm đường điện thắp sáng đường quê năm 2025</t>
  </si>
  <si>
    <t>Phân bổ theo số CBCC (đã trừ tiết kiệm 10%)</t>
  </si>
  <si>
    <t>nếu 80 bc thì: 2,475trđ/bc</t>
  </si>
  <si>
    <t>Phân bổ theo đơn vị hành chính (đã trừ tiết kiệm 10%)</t>
  </si>
  <si>
    <t>Hoạt động chung của HĐND, UBND, Đảng và Mặt trận</t>
  </si>
  <si>
    <t>Quỹ tiền lương</t>
  </si>
  <si>
    <t>KP hoạt động kct theo NQ 30/2023</t>
  </si>
  <si>
    <t>Phụ cấp đại biểu HĐND</t>
  </si>
  <si>
    <t>Phụ cấp cấp ủy xã</t>
  </si>
  <si>
    <t>Hỗ trợ kinh phí thực hiện đối với chi bộ, đảng bộ cơ sở theo QĐ 99</t>
  </si>
  <si>
    <t>KP đại hội đảng bộ</t>
  </si>
  <si>
    <t>KP đối với cán bộ lãnh đạo quản lý được điều động, luân chuyển</t>
  </si>
  <si>
    <t>KP biên soạn lịch sử đảng bộ xã</t>
  </si>
  <si>
    <t>KP một cửa theo NQ 35/2021</t>
  </si>
  <si>
    <t>Ban thanh tra nhân dân</t>
  </si>
  <si>
    <t>KP tổ an ninh theo NQ12/2024</t>
  </si>
  <si>
    <t>Định mức</t>
  </si>
  <si>
    <t>Đề án dân quân bảo vệ trụ sở xã 12/24</t>
  </si>
  <si>
    <t xml:space="preserve">(*) Chi đầu tư chi tiết theo danh mục </t>
  </si>
  <si>
    <t>Chế độ học bổng cho học sinh trường dân tộc nội trú theo Nghị định số 84/2020/NĐ-CP</t>
  </si>
  <si>
    <t>Chế độ đặc thù Trường dân tộc nội trú theo Thông tư số 109/2009/TTLT/BTC-BGDĐT</t>
  </si>
  <si>
    <t>Dự toán HĐND huyện Sơn Hà giao đầu năm</t>
  </si>
  <si>
    <t>Định mức và cân đối xã bổ sung (đã trừ tiết kiệm 10%)</t>
  </si>
  <si>
    <t xml:space="preserve">Tiết kiệm chi 10% </t>
  </si>
  <si>
    <t>Tiết kiệm chi 10%</t>
  </si>
  <si>
    <t>Biểu mẫu số 02</t>
  </si>
  <si>
    <t>Chi an ninh</t>
  </si>
  <si>
    <t>DỰ TOÁN</t>
  </si>
  <si>
    <t>SỐ ĐÃ SD 6 THÁNG</t>
  </si>
  <si>
    <t>CÒN</t>
  </si>
  <si>
    <t>LĂNG</t>
  </si>
  <si>
    <t>THƯỢNG</t>
  </si>
  <si>
    <t>BAO</t>
  </si>
  <si>
    <t>TỔNG</t>
  </si>
  <si>
    <t>CHI QUẢN LÝ</t>
  </si>
  <si>
    <t>I.1</t>
  </si>
  <si>
    <t>CHI BAN QUÂN SỰ</t>
  </si>
  <si>
    <t>1.1</t>
  </si>
  <si>
    <t>Lương, BHXH, BHYT, KPCĐ CBCC</t>
  </si>
  <si>
    <t>1.2</t>
  </si>
  <si>
    <t xml:space="preserve">Lương, BHXH KCT xã </t>
  </si>
  <si>
    <t>1.3</t>
  </si>
  <si>
    <t xml:space="preserve">Chi đề án Bảo vệ trụ sở </t>
  </si>
  <si>
    <t>1.4</t>
  </si>
  <si>
    <t>Chi hoạt động</t>
  </si>
  <si>
    <t>I.2</t>
  </si>
  <si>
    <t xml:space="preserve">CHI CÔNG AN </t>
  </si>
  <si>
    <t>Chi Ban thanh tra nhân dân</t>
  </si>
  <si>
    <t>Kinh phí tổ an ninh theo Nghị quyết số 12/2024/NQ-HĐND</t>
  </si>
  <si>
    <t>I.3</t>
  </si>
  <si>
    <t>CHI HỘI ĐỒNG NHÂN DÂN</t>
  </si>
  <si>
    <t xml:space="preserve">Chi cho đại biểu HĐND xã </t>
  </si>
  <si>
    <t>I.4</t>
  </si>
  <si>
    <t>CHI  ỦY BAN NHÂN DÂN</t>
  </si>
  <si>
    <t>Phụ cấp KCT thôn</t>
  </si>
  <si>
    <t>KINH PHÍ 1 CỬA</t>
  </si>
  <si>
    <t>Mua sắm tài sản</t>
  </si>
  <si>
    <t>Chi hoạt động khác</t>
  </si>
  <si>
    <t>I.5</t>
  </si>
  <si>
    <t>CHI ĐẢNG ỦY XÃ</t>
  </si>
  <si>
    <t xml:space="preserve">Phụ cấp cấp ủy </t>
  </si>
  <si>
    <t>Kinh phí đại hội đảng</t>
  </si>
  <si>
    <t>Mục tiêu</t>
  </si>
  <si>
    <t>I.6</t>
  </si>
  <si>
    <t>CHI ĐOÀN THANH NIÊN XÃ</t>
  </si>
  <si>
    <t>Lương, BHXH KCT xã (1 người)</t>
  </si>
  <si>
    <t>Hỗ trợ người làm việc ở thôn</t>
  </si>
  <si>
    <t>I.7</t>
  </si>
  <si>
    <t>CHI HỘI PHỤ NỮ XÃ</t>
  </si>
  <si>
    <t>I.8</t>
  </si>
  <si>
    <t>CHI HỘI NÔNG DÂN XÃ</t>
  </si>
  <si>
    <t>I.9</t>
  </si>
  <si>
    <t>CHI HỘI CỰU CHIẾN BINH XÃ</t>
  </si>
  <si>
    <t>I.10</t>
  </si>
  <si>
    <t>CHI ỦY BAN MẶT TRẬN TQVN XÃ</t>
  </si>
  <si>
    <t>Bầu cử Ban thanh tra nhân dân</t>
  </si>
  <si>
    <t>Hoạt động</t>
  </si>
  <si>
    <t>I.11</t>
  </si>
  <si>
    <t>CHI ĐỘI CÔNG TÁC XÃ HỘI TÌNH NGUYỆN</t>
  </si>
  <si>
    <t>SN VĂN HÓA - THÔNG TIN</t>
  </si>
  <si>
    <t>II.1</t>
  </si>
  <si>
    <t>Chi Khu dân cư</t>
  </si>
  <si>
    <t>II.2</t>
  </si>
  <si>
    <t>Chi Ban Chỉ đạo</t>
  </si>
  <si>
    <t>II.3</t>
  </si>
  <si>
    <t>Chi Văn hóa - thông tin</t>
  </si>
  <si>
    <t>CHI SN PHÁT THANH TRUYỀN HÌNH</t>
  </si>
  <si>
    <t>CHI SN THỂ DỤC THỂ THAO</t>
  </si>
  <si>
    <t>IV.1</t>
  </si>
  <si>
    <t>Sự nghiệp thể dục thể thao</t>
  </si>
  <si>
    <t>IV.2</t>
  </si>
  <si>
    <t>Kinh phí tổ chức Đại hội thể dục thể thao</t>
  </si>
  <si>
    <t>CHI SN ĐẢM BẢO XÃ HỘI</t>
  </si>
  <si>
    <t>V.1</t>
  </si>
  <si>
    <t>Chi Đảm bảo xã hội</t>
  </si>
  <si>
    <t>V.2</t>
  </si>
  <si>
    <t>Chi chăm sóc bảo vệ trẻ em</t>
  </si>
  <si>
    <t>V.3</t>
  </si>
  <si>
    <t>Chi Chúc thọ Người cao tuổi</t>
  </si>
  <si>
    <t>V.4</t>
  </si>
  <si>
    <t>CHI SN KINH TẾ</t>
  </si>
  <si>
    <t>VI.1</t>
  </si>
  <si>
    <t>Sự nghiệp kinh tế</t>
  </si>
  <si>
    <t>Thực hiện Mô hình sử dụng giống lúa mới năng suất cao trong sản xuất lúa, tập huấn kỹ thuật cho người trồng lúa tại Cánh đồng Rộc, thôn Nước Tăm</t>
  </si>
  <si>
    <t>Thực hiện Mô hình sử dụng giống lúa mới năng suất cao trong sản xuất lúa, tập huấn kỹ thuật cho người trồng lúa tại Cánh đồng Ruộng Trường, thôn Gò Răng</t>
  </si>
  <si>
    <t>Sửa chữa, duy tu kênh Đập Suối Dầu (đồng Ruộng Đi, thôn Gò Răng)</t>
  </si>
  <si>
    <t>Hỗ trợ cát, sạn, xe máy làm đường BTXM nông thôn.</t>
  </si>
  <si>
    <t>Hỗ trợ đường điện thắp sáng đường quê</t>
  </si>
  <si>
    <t>Hỗ trợ điểm bán hàng Ocop</t>
  </si>
  <si>
    <t>Hỗ trợ mô hình trồng lú năm 2025 trên địa bàn xã Sơn Bao.</t>
  </si>
  <si>
    <t>Di Lăng</t>
  </si>
  <si>
    <t>Sửa chữa nhà sinh hoạt cộng đồng tổ dân phố Nước Rạc</t>
  </si>
  <si>
    <t>Hỗ trợ kinh phí làm đường điện thắp sáng đường quê năm 2025</t>
  </si>
  <si>
    <t>Hỗ trợ bò đực giống Zebu và mô hình trồng rau trên địa bàn thị trấn Di Lăng</t>
  </si>
  <si>
    <t>Hỗ trợ mua đá, cát làm đường BTXM tại các tổ dân phố trên địa bàn thị trấn Di Lăng</t>
  </si>
  <si>
    <t>VI.2</t>
  </si>
  <si>
    <t>Kinh phí hỗ trợ cho ngân sách cấp xã tổ chức bảo vệ rừng tại cơ sở theo Quyết định số 02</t>
  </si>
  <si>
    <t>VI.3</t>
  </si>
  <si>
    <t>VI.4</t>
  </si>
  <si>
    <t>Vốn đối ứng NS huyện hỗ trợ làm đường BTXM giao thông nông năm 2025</t>
  </si>
  <si>
    <t>VI.5</t>
  </si>
  <si>
    <t>Thực hiện phương án quản lý các công trình công cộng trên địa bàn thị trấn năm 2024</t>
  </si>
  <si>
    <t>VI.6</t>
  </si>
  <si>
    <t>VI.7</t>
  </si>
  <si>
    <t>Chỉnh trang vỉa hè đoạn từ cầu Tà Man 2 đi cầu sông Rin mới</t>
  </si>
  <si>
    <t>VI.8</t>
  </si>
  <si>
    <t>Sửa chữa vỉa hè tại một số vị trí bị hư hỏng trên các trục đường thuộc KDC Cà Tu và tuyến đường Phạm Văn Đồng</t>
  </si>
  <si>
    <t>CHI BẢO VỆ MÔI TRƯỜNG</t>
  </si>
  <si>
    <t>CHI KHÁC NGÂN SÁCH</t>
  </si>
  <si>
    <t>TỔNG CỘNG</t>
  </si>
  <si>
    <t>Sơn Bao còn sai số liệu</t>
  </si>
  <si>
    <t>Trên BC các xã (số pb đầu năm)</t>
  </si>
  <si>
    <t>K TRA</t>
  </si>
  <si>
    <t>LỆCH</t>
  </si>
  <si>
    <t>SƠN THƯỢNG, DI LĂNG KHỚP ĐÚNG</t>
  </si>
  <si>
    <t>Chi lương</t>
  </si>
  <si>
    <t>TỔNG CHI</t>
  </si>
  <si>
    <t>CHI THƯỜNG XUYÊN</t>
  </si>
  <si>
    <t>- Chi sự nghiệp kinh tế</t>
  </si>
  <si>
    <t>Sự nghiệp đảm bảo xã hội</t>
  </si>
  <si>
    <t>Lương, các khoản theo lương</t>
  </si>
  <si>
    <t>Lương, phụ cấp</t>
  </si>
  <si>
    <t>Lương, các khoản theo lương CBCC (Kinh phí đã sử dụng 6 tháng đầu năm)</t>
  </si>
  <si>
    <t>Lương, các khoản theo lương CBCC (Kinh phí phân bổ 6 tháng cuối năm)</t>
  </si>
  <si>
    <t>Phụ cấp KCT xã (Kinh phí phân bổ 6 tháng cuối năm)</t>
  </si>
  <si>
    <t>Phụ cấp KCT thôn (Kinh phí phân bổ 6 tháng cuối năm)</t>
  </si>
  <si>
    <t>Phụ cấp KCT xã (Kinh phí đã sử dụng 6 tháng đầu năm)</t>
  </si>
  <si>
    <t>Phụ cấp KCT thôn (Kinh phí đã sử dụng 6 tháng đầu năm)</t>
  </si>
  <si>
    <t>PHỤ BIỂU  SỐ LIỆU DỰ TOÁN 2025</t>
  </si>
  <si>
    <t>Dự toán UBND tỉnh giao tại Quyết định số 08/QĐ-UBND ngày 18/7/2025 của UBND tỉnh Quảng Ngãi</t>
  </si>
  <si>
    <t>Dự toán 2025 xã Sơn Hà (mới)</t>
  </si>
  <si>
    <t>KP hỗ trợ cho ngân sách cấp xã tổ chức bảo vệ rừng tại cơ sở theo QĐ số 02</t>
  </si>
  <si>
    <t>(Kèm theo Nghị quyết số:         /NQ-HNND ngày      /7/2025 của HĐND xã Sơn Hà)</t>
  </si>
  <si>
    <t>QUỸ THI ĐUA KHEN THƯỞNG</t>
  </si>
  <si>
    <t>Phụ biểu 01</t>
  </si>
  <si>
    <t>SỐ LIỆU 03 XÃ TRƯỚC SÁP NHẬP VÀ TẠI THỜI ĐIỂM SÁP NHẬP XÃ</t>
  </si>
  <si>
    <r>
      <t>Ghi chú:</t>
    </r>
    <r>
      <rPr>
        <i/>
        <sz val="11"/>
        <color theme="1"/>
        <rFont val="Times New Roman"/>
        <family val="1"/>
      </rPr>
      <t xml:space="preserve"> - Số liệu dự toán còn được sử dụng trên cơ sở Nghị quyết của đơn vị cũ trước sáp nhập.
                 - Số chi đã sử dụng dựa trên cơ sở số liệu phân tích bàn giao các các đơn vị cũ trước sáp nhập.</t>
    </r>
  </si>
  <si>
    <t>Bổ sung từ ngân sách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</si>
</sst>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000_);_(* \(#,##0.000\);_(* &quot;-&quot;??_);_(@_)"/>
    <numFmt numFmtId="165" formatCode="_(* #,##0_);_(* \(#,##0\);_(* &quot;-&quot;??_);_(@_)"/>
    <numFmt numFmtId="166" formatCode="_(* #,##0.000_);_(* \(#,##0.000\);_(* &quot;-&quot;???_);_(@_)"/>
    <numFmt numFmtId="167" formatCode="_(* #,##0.00000_);_(* \(#,##0.00000\);_(* &quot;-&quot;??_);_(@_)"/>
  </numFmts>
  <fonts count="36"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i/>
      <sz val="12"/>
      <color theme="1"/>
      <name val="Times New Roman"/>
      <family val="1"/>
    </font>
    <font>
      <b/>
      <sz val="10"/>
      <name val="Times New Roman"/>
      <family val="1"/>
    </font>
    <font>
      <sz val="10"/>
      <name val="Times New Roman"/>
      <family val="1"/>
    </font>
    <font>
      <sz val="12"/>
      <name val="Times New Roman"/>
      <family val="1"/>
      <charset val="163"/>
    </font>
    <font>
      <sz val="14"/>
      <name val="Times New Roman"/>
      <family val="1"/>
    </font>
    <font>
      <b/>
      <sz val="9"/>
      <color indexed="81"/>
      <name val="Tahoma"/>
      <family val="2"/>
    </font>
    <font>
      <sz val="9"/>
      <color indexed="81"/>
      <name val="Tahoma"/>
      <family val="2"/>
    </font>
    <font>
      <i/>
      <sz val="10"/>
      <name val="Times New Roman"/>
      <family val="1"/>
    </font>
    <font>
      <sz val="11"/>
      <color theme="1"/>
      <name val="Calibri"/>
      <family val="2"/>
      <charset val="163"/>
    </font>
    <font>
      <sz val="14"/>
      <name val=".VnArial Narrow"/>
      <family val="2"/>
    </font>
    <font>
      <sz val="11"/>
      <name val="Times New Roman"/>
      <family val="1"/>
    </font>
    <font>
      <i/>
      <sz val="11"/>
      <name val="Times New Roman"/>
      <family val="1"/>
    </font>
    <font>
      <b/>
      <sz val="11"/>
      <name val="Times New Roman"/>
      <family val="1"/>
    </font>
    <font>
      <b/>
      <i/>
      <sz val="10"/>
      <name val="Times New Roman"/>
      <family val="1"/>
    </font>
    <font>
      <sz val="11"/>
      <color theme="1"/>
      <name val="Calibri"/>
      <family val="2"/>
      <charset val="163"/>
      <scheme val="minor"/>
    </font>
    <font>
      <b/>
      <i/>
      <sz val="11"/>
      <name val="Times New Roman"/>
      <family val="1"/>
    </font>
    <font>
      <sz val="10"/>
      <color theme="1"/>
      <name val="Times New Roman"/>
      <family val="1"/>
    </font>
    <font>
      <b/>
      <sz val="8"/>
      <color theme="1"/>
      <name val="Times New Roman"/>
      <family val="1"/>
    </font>
    <font>
      <b/>
      <i/>
      <sz val="12"/>
      <color theme="1"/>
      <name val="Times New Roman"/>
      <family val="1"/>
    </font>
    <font>
      <b/>
      <sz val="13"/>
      <name val="Times New Roman"/>
      <family val="1"/>
    </font>
    <font>
      <i/>
      <sz val="13"/>
      <name val="Times New Roman"/>
      <family val="1"/>
    </font>
    <font>
      <b/>
      <sz val="9"/>
      <name val="Times New Roman"/>
      <family val="1"/>
    </font>
    <font>
      <sz val="9"/>
      <name val="Times New Roman"/>
      <family val="1"/>
    </font>
    <font>
      <i/>
      <sz val="9"/>
      <name val="Times New Roman"/>
      <family val="1"/>
    </font>
    <font>
      <b/>
      <sz val="14"/>
      <name val="Times New Roman"/>
      <family val="1"/>
    </font>
    <font>
      <i/>
      <sz val="14"/>
      <name val="Times New Roman"/>
      <family val="1"/>
    </font>
    <font>
      <b/>
      <sz val="11"/>
      <color theme="1"/>
      <name val="Times New Roman"/>
      <family val="1"/>
    </font>
    <font>
      <i/>
      <sz val="11"/>
      <color theme="1"/>
      <name val="Times New Roman"/>
      <family val="1"/>
    </font>
    <font>
      <b/>
      <sz val="14"/>
      <color theme="1"/>
      <name val="Times New Roman"/>
      <family val="1"/>
    </font>
    <font>
      <i/>
      <sz val="14"/>
      <color theme="1"/>
      <name val="Times New Roman"/>
      <family val="1"/>
    </font>
    <font>
      <sz val="11"/>
      <color theme="1"/>
      <name val="Times New Roman"/>
      <family val="1"/>
    </font>
    <font>
      <b/>
      <i/>
      <sz val="11"/>
      <color theme="1"/>
      <name val="Times New Roman"/>
      <family val="1"/>
    </font>
  </fonts>
  <fills count="3">
    <fill>
      <patternFill patternType="none"/>
    </fill>
    <fill>
      <patternFill patternType="gray125"/>
    </fill>
    <fill>
      <patternFill patternType="solid">
        <fgColor theme="0"/>
        <bgColor indexed="64"/>
      </patternFill>
    </fill>
  </fills>
  <borders count="16">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11">
    <xf numFmtId="0" fontId="0" fillId="0" borderId="0"/>
    <xf numFmtId="43" fontId="1" fillId="0" borderId="0" applyFont="0" applyFill="0" applyBorder="0" applyAlignment="0" applyProtection="0"/>
    <xf numFmtId="0" fontId="6" fillId="0" borderId="0"/>
    <xf numFmtId="0" fontId="7" fillId="0" borderId="0"/>
    <xf numFmtId="0" fontId="8" fillId="0" borderId="0"/>
    <xf numFmtId="0" fontId="12" fillId="0" borderId="0"/>
    <xf numFmtId="0" fontId="13" fillId="0" borderId="0"/>
    <xf numFmtId="0" fontId="6" fillId="0" borderId="0"/>
    <xf numFmtId="0" fontId="13" fillId="0" borderId="0"/>
    <xf numFmtId="0" fontId="18" fillId="0" borderId="0"/>
    <xf numFmtId="0" fontId="6" fillId="0" borderId="0"/>
  </cellStyleXfs>
  <cellXfs count="202">
    <xf numFmtId="0" fontId="0" fillId="0" borderId="0" xfId="0"/>
    <xf numFmtId="0" fontId="3" fillId="0" borderId="0" xfId="0" applyFont="1" applyFill="1"/>
    <xf numFmtId="164" fontId="4" fillId="0" borderId="0" xfId="0" applyNumberFormat="1" applyFont="1" applyFill="1" applyAlignment="1">
      <alignment horizontal="right" vertical="center"/>
    </xf>
    <xf numFmtId="164" fontId="3" fillId="0" borderId="0" xfId="0" applyNumberFormat="1" applyFont="1" applyFill="1"/>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64" fontId="2"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quotePrefix="1" applyFont="1" applyFill="1" applyBorder="1" applyAlignment="1">
      <alignment horizontal="center"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164" fontId="3" fillId="0" borderId="6" xfId="1" applyNumberFormat="1" applyFont="1" applyFill="1" applyBorder="1" applyAlignment="1">
      <alignment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4"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vertical="center" wrapText="1"/>
    </xf>
    <xf numFmtId="164" fontId="3" fillId="0" borderId="9" xfId="1" applyNumberFormat="1" applyFont="1" applyFill="1" applyBorder="1"/>
    <xf numFmtId="43" fontId="3" fillId="0" borderId="0" xfId="0" applyNumberFormat="1" applyFont="1" applyFill="1"/>
    <xf numFmtId="166" fontId="3" fillId="0" borderId="0" xfId="0" applyNumberFormat="1" applyFont="1" applyFill="1"/>
    <xf numFmtId="41" fontId="5" fillId="0" borderId="0" xfId="6" applyNumberFormat="1" applyFont="1" applyAlignment="1">
      <alignment horizontal="left" vertical="center"/>
    </xf>
    <xf numFmtId="0" fontId="6" fillId="0" borderId="0" xfId="0" applyFont="1" applyFill="1" applyBorder="1" applyAlignment="1">
      <alignment vertical="center"/>
    </xf>
    <xf numFmtId="41" fontId="6"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1"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1" fillId="0" borderId="0" xfId="0" applyNumberFormat="1" applyFont="1" applyFill="1" applyBorder="1" applyAlignment="1">
      <alignment horizontal="right" vertical="center"/>
    </xf>
    <xf numFmtId="0" fontId="5" fillId="0" borderId="11" xfId="0" applyNumberFormat="1" applyFont="1" applyFill="1" applyBorder="1" applyAlignment="1">
      <alignment horizontal="center" vertical="center" wrapText="1"/>
    </xf>
    <xf numFmtId="0" fontId="5" fillId="0" borderId="5" xfId="7" applyNumberFormat="1" applyFont="1" applyFill="1" applyBorder="1" applyAlignment="1">
      <alignment horizontal="center" vertical="center" wrapText="1"/>
    </xf>
    <xf numFmtId="0" fontId="6" fillId="0" borderId="5" xfId="7" applyNumberFormat="1" applyFont="1" applyFill="1" applyBorder="1" applyAlignment="1">
      <alignment horizontal="center" vertical="center" wrapText="1"/>
    </xf>
    <xf numFmtId="41" fontId="5" fillId="0" borderId="0" xfId="0" applyNumberFormat="1" applyFont="1" applyFill="1" applyBorder="1" applyAlignment="1">
      <alignment horizontal="center" vertical="center"/>
    </xf>
    <xf numFmtId="0" fontId="5" fillId="0" borderId="5" xfId="0" applyFont="1" applyBorder="1" applyAlignment="1">
      <alignment horizontal="center" vertical="center"/>
    </xf>
    <xf numFmtId="0" fontId="6" fillId="0" borderId="5" xfId="0" applyFont="1" applyBorder="1" applyAlignment="1">
      <alignment horizontal="center" vertical="center"/>
    </xf>
    <xf numFmtId="41" fontId="17" fillId="0" borderId="0" xfId="0" applyNumberFormat="1" applyFont="1" applyFill="1" applyBorder="1" applyAlignment="1">
      <alignment horizontal="center" vertical="center"/>
    </xf>
    <xf numFmtId="0" fontId="11" fillId="0" borderId="5" xfId="0" applyFont="1" applyBorder="1" applyAlignment="1">
      <alignment horizontal="center" vertical="center"/>
    </xf>
    <xf numFmtId="41" fontId="5" fillId="0" borderId="0" xfId="0" applyNumberFormat="1" applyFont="1" applyFill="1" applyBorder="1" applyAlignment="1">
      <alignment vertical="center"/>
    </xf>
    <xf numFmtId="0" fontId="5" fillId="0" borderId="5" xfId="0" applyFont="1" applyBorder="1" applyAlignment="1">
      <alignment horizontal="center" vertical="center" wrapText="1"/>
    </xf>
    <xf numFmtId="0" fontId="5" fillId="0" borderId="5" xfId="0" applyFont="1" applyBorder="1" applyAlignment="1">
      <alignment vertical="center" wrapText="1"/>
    </xf>
    <xf numFmtId="0" fontId="5" fillId="0" borderId="0" xfId="0" applyFont="1" applyFill="1" applyBorder="1" applyAlignment="1">
      <alignment vertical="center"/>
    </xf>
    <xf numFmtId="165" fontId="5" fillId="0" borderId="5" xfId="1" applyNumberFormat="1" applyFont="1" applyFill="1" applyBorder="1" applyAlignment="1">
      <alignment vertical="center"/>
    </xf>
    <xf numFmtId="165" fontId="6" fillId="0" borderId="5" xfId="1" applyNumberFormat="1" applyFont="1" applyBorder="1" applyAlignment="1">
      <alignment horizontal="right" vertical="center"/>
    </xf>
    <xf numFmtId="165" fontId="11" fillId="0" borderId="5" xfId="1" applyNumberFormat="1" applyFont="1" applyBorder="1" applyAlignment="1">
      <alignment horizontal="right" vertical="center"/>
    </xf>
    <xf numFmtId="165" fontId="6" fillId="0" borderId="5" xfId="1" applyNumberFormat="1" applyFont="1" applyFill="1" applyBorder="1" applyAlignment="1">
      <alignment vertical="center"/>
    </xf>
    <xf numFmtId="165" fontId="5" fillId="0" borderId="5" xfId="1" applyNumberFormat="1" applyFont="1" applyBorder="1" applyAlignment="1">
      <alignment vertical="center" wrapText="1"/>
    </xf>
    <xf numFmtId="165" fontId="6" fillId="0" borderId="5" xfId="1" applyNumberFormat="1" applyFont="1" applyBorder="1" applyAlignment="1">
      <alignment vertical="center"/>
    </xf>
    <xf numFmtId="0" fontId="6" fillId="0" borderId="5" xfId="0" applyFont="1" applyBorder="1" applyAlignment="1">
      <alignment vertical="center" wrapText="1"/>
    </xf>
    <xf numFmtId="0" fontId="11" fillId="0" borderId="5" xfId="0" applyFont="1" applyBorder="1" applyAlignment="1">
      <alignment horizontal="left" vertical="center" wrapText="1"/>
    </xf>
    <xf numFmtId="0" fontId="11" fillId="0" borderId="5" xfId="0" applyFont="1" applyBorder="1" applyAlignment="1">
      <alignment vertical="center" wrapText="1"/>
    </xf>
    <xf numFmtId="41" fontId="16" fillId="2" borderId="0" xfId="8" applyNumberFormat="1" applyFont="1" applyFill="1" applyAlignment="1">
      <alignment horizontal="left" vertical="center"/>
    </xf>
    <xf numFmtId="0" fontId="14" fillId="2" borderId="0" xfId="9" applyFont="1" applyFill="1" applyAlignment="1">
      <alignment vertical="center"/>
    </xf>
    <xf numFmtId="41" fontId="14" fillId="2" borderId="0" xfId="9" applyNumberFormat="1" applyFont="1" applyFill="1" applyAlignment="1">
      <alignment vertical="center"/>
    </xf>
    <xf numFmtId="41" fontId="16" fillId="2" borderId="0" xfId="9" applyNumberFormat="1" applyFont="1" applyFill="1" applyAlignment="1">
      <alignment vertical="center"/>
    </xf>
    <xf numFmtId="0" fontId="15" fillId="2" borderId="0" xfId="9" applyFont="1" applyFill="1" applyAlignment="1">
      <alignment horizontal="center" vertical="center"/>
    </xf>
    <xf numFmtId="0" fontId="14" fillId="2" borderId="0" xfId="9" applyFont="1" applyFill="1" applyAlignment="1">
      <alignment horizontal="center" vertical="center"/>
    </xf>
    <xf numFmtId="0" fontId="15" fillId="2" borderId="0" xfId="9" applyFont="1" applyFill="1" applyAlignment="1">
      <alignment horizontal="right" vertical="center"/>
    </xf>
    <xf numFmtId="41" fontId="16" fillId="2" borderId="0" xfId="9" applyNumberFormat="1" applyFont="1" applyFill="1" applyAlignment="1">
      <alignment horizontal="center" vertical="center"/>
    </xf>
    <xf numFmtId="0" fontId="14" fillId="2" borderId="0" xfId="9" applyFont="1" applyFill="1" applyAlignment="1">
      <alignment horizontal="left" vertical="center"/>
    </xf>
    <xf numFmtId="41" fontId="14" fillId="2" borderId="0" xfId="9" applyNumberFormat="1" applyFont="1" applyFill="1" applyAlignment="1">
      <alignment horizontal="center" vertical="center"/>
    </xf>
    <xf numFmtId="0" fontId="6" fillId="2" borderId="0" xfId="0" applyFont="1" applyFill="1" applyAlignment="1">
      <alignment horizontal="center"/>
    </xf>
    <xf numFmtId="0" fontId="6" fillId="2" borderId="0" xfId="0" applyFont="1" applyFill="1" applyAlignment="1">
      <alignment horizontal="left"/>
    </xf>
    <xf numFmtId="164" fontId="6" fillId="2" borderId="0" xfId="1" applyNumberFormat="1" applyFont="1" applyFill="1"/>
    <xf numFmtId="0" fontId="6" fillId="2" borderId="0" xfId="0" applyFont="1" applyFill="1"/>
    <xf numFmtId="0" fontId="5" fillId="2" borderId="0" xfId="0" applyFont="1" applyFill="1" applyAlignment="1">
      <alignment horizontal="center" vertical="center"/>
    </xf>
    <xf numFmtId="166" fontId="6" fillId="2" borderId="0" xfId="0" applyNumberFormat="1" applyFont="1" applyFill="1"/>
    <xf numFmtId="165" fontId="5" fillId="2" borderId="5" xfId="1" applyNumberFormat="1" applyFont="1" applyFill="1" applyBorder="1" applyAlignment="1">
      <alignment vertical="center" wrapText="1"/>
    </xf>
    <xf numFmtId="165" fontId="6" fillId="2" borderId="0" xfId="1" applyNumberFormat="1" applyFont="1" applyFill="1" applyAlignment="1"/>
    <xf numFmtId="164" fontId="5" fillId="2" borderId="4" xfId="1" applyNumberFormat="1" applyFont="1" applyFill="1" applyBorder="1" applyAlignment="1">
      <alignment vertical="center" shrinkToFit="1"/>
    </xf>
    <xf numFmtId="164" fontId="5" fillId="2" borderId="5" xfId="1" applyNumberFormat="1" applyFont="1" applyFill="1" applyBorder="1" applyAlignment="1">
      <alignment vertical="center" shrinkToFit="1"/>
    </xf>
    <xf numFmtId="164" fontId="6" fillId="2" borderId="0" xfId="1" applyNumberFormat="1" applyFont="1" applyFill="1" applyAlignment="1">
      <alignment shrinkToFit="1"/>
    </xf>
    <xf numFmtId="0" fontId="5" fillId="2" borderId="5" xfId="0" applyFont="1" applyFill="1" applyBorder="1" applyAlignment="1">
      <alignment horizontal="left" vertical="center" wrapText="1"/>
    </xf>
    <xf numFmtId="164" fontId="6" fillId="2" borderId="5" xfId="1" applyNumberFormat="1" applyFont="1" applyFill="1" applyBorder="1" applyAlignment="1">
      <alignment horizontal="center" vertical="center" shrinkToFit="1"/>
    </xf>
    <xf numFmtId="164" fontId="5" fillId="2" borderId="5" xfId="1" applyNumberFormat="1" applyFont="1" applyFill="1" applyBorder="1" applyAlignment="1">
      <alignment horizontal="center" vertical="center" shrinkToFit="1"/>
    </xf>
    <xf numFmtId="43" fontId="5" fillId="2" borderId="0" xfId="0" applyNumberFormat="1" applyFont="1" applyFill="1"/>
    <xf numFmtId="0" fontId="5" fillId="2" borderId="0" xfId="0" applyFont="1" applyFill="1"/>
    <xf numFmtId="0" fontId="6" fillId="2" borderId="4" xfId="0" applyFont="1" applyFill="1" applyBorder="1" applyAlignment="1">
      <alignment horizontal="center" vertical="center" wrapText="1"/>
    </xf>
    <xf numFmtId="0" fontId="6" fillId="2" borderId="5" xfId="2" applyFont="1" applyFill="1" applyBorder="1" applyAlignment="1">
      <alignment horizontal="left" vertical="center" wrapText="1"/>
    </xf>
    <xf numFmtId="3" fontId="6" fillId="2" borderId="5" xfId="3" applyNumberFormat="1" applyFont="1" applyFill="1" applyBorder="1" applyAlignment="1">
      <alignment horizontal="left" vertical="center" wrapText="1" shrinkToFit="1"/>
    </xf>
    <xf numFmtId="0" fontId="6" fillId="2" borderId="5" xfId="4" applyFont="1" applyFill="1" applyBorder="1" applyAlignment="1">
      <alignment horizontal="left" vertical="center" wrapText="1"/>
    </xf>
    <xf numFmtId="0" fontId="6" fillId="2" borderId="5" xfId="2" applyFont="1" applyFill="1" applyBorder="1" applyAlignment="1" applyProtection="1">
      <alignment horizontal="left" vertical="center" wrapText="1"/>
    </xf>
    <xf numFmtId="0" fontId="5" fillId="2" borderId="4" xfId="0" applyFont="1" applyFill="1" applyBorder="1" applyAlignment="1">
      <alignment horizontal="center"/>
    </xf>
    <xf numFmtId="41" fontId="6" fillId="2" borderId="0" xfId="0" applyNumberFormat="1" applyFont="1" applyFill="1"/>
    <xf numFmtId="0" fontId="6" fillId="2" borderId="4" xfId="0" applyFont="1" applyFill="1" applyBorder="1" applyAlignment="1">
      <alignment horizontal="center"/>
    </xf>
    <xf numFmtId="0" fontId="6" fillId="2" borderId="5" xfId="0" applyFont="1" applyFill="1" applyBorder="1" applyAlignment="1">
      <alignment horizontal="left" vertical="center" wrapText="1"/>
    </xf>
    <xf numFmtId="43" fontId="6" fillId="2" borderId="0" xfId="0" applyNumberFormat="1" applyFont="1" applyFill="1"/>
    <xf numFmtId="0" fontId="6" fillId="2" borderId="5" xfId="0" quotePrefix="1" applyFont="1" applyFill="1" applyBorder="1" applyAlignment="1">
      <alignment horizontal="left" vertical="center" wrapText="1"/>
    </xf>
    <xf numFmtId="0" fontId="5" fillId="2" borderId="5" xfId="0" quotePrefix="1" applyFont="1" applyFill="1" applyBorder="1" applyAlignment="1">
      <alignment horizontal="left" vertical="center" wrapText="1"/>
    </xf>
    <xf numFmtId="0" fontId="6" fillId="2" borderId="7" xfId="0" applyFont="1" applyFill="1" applyBorder="1" applyAlignment="1">
      <alignment horizontal="center"/>
    </xf>
    <xf numFmtId="0" fontId="6" fillId="2" borderId="8" xfId="0" applyFont="1" applyFill="1" applyBorder="1" applyAlignment="1">
      <alignment horizontal="left" vertical="center"/>
    </xf>
    <xf numFmtId="164" fontId="6" fillId="2" borderId="8" xfId="1" applyNumberFormat="1" applyFont="1" applyFill="1" applyBorder="1" applyAlignment="1">
      <alignment horizontal="center" vertical="center" shrinkToFit="1"/>
    </xf>
    <xf numFmtId="41" fontId="19" fillId="2" borderId="0" xfId="9" applyNumberFormat="1" applyFont="1" applyFill="1" applyAlignment="1">
      <alignment vertical="center"/>
    </xf>
    <xf numFmtId="41" fontId="15" fillId="2" borderId="0" xfId="9" applyNumberFormat="1" applyFont="1" applyFill="1" applyAlignment="1">
      <alignment vertical="center"/>
    </xf>
    <xf numFmtId="167" fontId="6" fillId="2" borderId="5" xfId="1" applyNumberFormat="1" applyFont="1" applyFill="1" applyBorder="1" applyAlignment="1">
      <alignment horizontal="center" vertical="center" shrinkToFit="1"/>
    </xf>
    <xf numFmtId="0" fontId="3" fillId="0" borderId="0" xfId="0" applyFont="1" applyFill="1" applyBorder="1"/>
    <xf numFmtId="0" fontId="3" fillId="0" borderId="0" xfId="0" applyFont="1" applyFill="1" applyBorder="1" applyAlignment="1">
      <alignment wrapText="1"/>
    </xf>
    <xf numFmtId="165" fontId="3" fillId="0" borderId="0" xfId="1" applyNumberFormat="1" applyFont="1" applyFill="1" applyBorder="1" applyAlignment="1">
      <alignment shrinkToFit="1"/>
    </xf>
    <xf numFmtId="0" fontId="2" fillId="0" borderId="0" xfId="0" applyFont="1" applyFill="1" applyBorder="1"/>
    <xf numFmtId="41" fontId="2" fillId="0" borderId="0" xfId="0" applyNumberFormat="1" applyFont="1" applyFill="1" applyBorder="1"/>
    <xf numFmtId="165" fontId="2" fillId="0" borderId="0" xfId="0" applyNumberFormat="1" applyFont="1" applyFill="1" applyBorder="1"/>
    <xf numFmtId="165" fontId="3" fillId="0" borderId="0" xfId="0" applyNumberFormat="1" applyFont="1" applyFill="1" applyBorder="1"/>
    <xf numFmtId="0" fontId="2" fillId="0" borderId="0" xfId="0" applyFont="1" applyFill="1" applyBorder="1" applyAlignment="1">
      <alignment horizontal="center"/>
    </xf>
    <xf numFmtId="165" fontId="2" fillId="0" borderId="0" xfId="1" applyNumberFormat="1" applyFont="1" applyFill="1" applyBorder="1" applyAlignment="1">
      <alignment shrinkToFit="1"/>
    </xf>
    <xf numFmtId="165" fontId="20" fillId="0" borderId="0" xfId="1" applyNumberFormat="1" applyFont="1" applyFill="1" applyBorder="1"/>
    <xf numFmtId="3" fontId="21" fillId="0" borderId="0" xfId="1" applyNumberFormat="1" applyFont="1" applyFill="1" applyBorder="1" applyAlignment="1">
      <alignment shrinkToFit="1"/>
    </xf>
    <xf numFmtId="0" fontId="22" fillId="0" borderId="0" xfId="0" applyFont="1" applyFill="1" applyBorder="1"/>
    <xf numFmtId="0" fontId="4" fillId="0" borderId="0" xfId="0" applyFont="1" applyFill="1" applyAlignment="1">
      <alignment horizontal="center" vertical="center"/>
    </xf>
    <xf numFmtId="164" fontId="5" fillId="2" borderId="5" xfId="1"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5" xfId="9" applyFont="1" applyFill="1" applyBorder="1" applyAlignment="1">
      <alignment horizontal="left" vertical="center" wrapText="1"/>
    </xf>
    <xf numFmtId="0" fontId="6" fillId="2" borderId="5" xfId="9" quotePrefix="1" applyFont="1" applyFill="1" applyBorder="1" applyAlignment="1">
      <alignment horizontal="left" vertical="center" wrapText="1"/>
    </xf>
    <xf numFmtId="0" fontId="25" fillId="2" borderId="5" xfId="9" applyFont="1" applyFill="1" applyBorder="1" applyAlignment="1">
      <alignment horizontal="center" vertical="center"/>
    </xf>
    <xf numFmtId="41" fontId="26" fillId="2" borderId="5" xfId="9" applyNumberFormat="1" applyFont="1" applyFill="1" applyBorder="1" applyAlignment="1">
      <alignment vertical="center" shrinkToFit="1"/>
    </xf>
    <xf numFmtId="0" fontId="25" fillId="2" borderId="5" xfId="9" applyFont="1" applyFill="1" applyBorder="1" applyAlignment="1">
      <alignment horizontal="left" vertical="center" wrapText="1"/>
    </xf>
    <xf numFmtId="0" fontId="26" fillId="2" borderId="5" xfId="9" applyFont="1" applyFill="1" applyBorder="1" applyAlignment="1">
      <alignment horizontal="left" vertical="center" shrinkToFit="1"/>
    </xf>
    <xf numFmtId="0" fontId="25" fillId="2" borderId="5" xfId="9" quotePrefix="1" applyFont="1" applyFill="1" applyBorder="1" applyAlignment="1">
      <alignment horizontal="center" vertical="center"/>
    </xf>
    <xf numFmtId="0" fontId="26" fillId="2" borderId="5" xfId="9" applyFont="1" applyFill="1" applyBorder="1" applyAlignment="1">
      <alignment horizontal="left" vertical="center" wrapText="1"/>
    </xf>
    <xf numFmtId="41" fontId="26" fillId="2" borderId="5" xfId="9" applyNumberFormat="1" applyFont="1" applyFill="1" applyBorder="1" applyAlignment="1">
      <alignment horizontal="left" vertical="center" shrinkToFit="1"/>
    </xf>
    <xf numFmtId="0" fontId="26" fillId="2" borderId="5" xfId="10" quotePrefix="1" applyFont="1" applyFill="1" applyBorder="1" applyAlignment="1">
      <alignment horizontal="left" vertical="center" wrapText="1"/>
    </xf>
    <xf numFmtId="0" fontId="26" fillId="2" borderId="5" xfId="9" quotePrefix="1" applyFont="1" applyFill="1" applyBorder="1" applyAlignment="1">
      <alignment horizontal="left" vertical="center" wrapText="1"/>
    </xf>
    <xf numFmtId="0" fontId="26" fillId="2" borderId="5" xfId="9" quotePrefix="1" applyFont="1" applyFill="1" applyBorder="1" applyAlignment="1">
      <alignment horizontal="left" vertical="center" shrinkToFit="1"/>
    </xf>
    <xf numFmtId="0" fontId="26" fillId="2" borderId="5" xfId="8" applyFont="1" applyFill="1" applyBorder="1" applyAlignment="1">
      <alignment horizontal="left" vertical="center" wrapText="1"/>
    </xf>
    <xf numFmtId="0" fontId="26" fillId="2" borderId="5" xfId="8" applyFont="1" applyFill="1" applyBorder="1" applyAlignment="1">
      <alignment horizontal="left" vertical="center" shrinkToFit="1"/>
    </xf>
    <xf numFmtId="0" fontId="26" fillId="2" borderId="5" xfId="9" applyFont="1" applyFill="1" applyBorder="1" applyAlignment="1">
      <alignment wrapText="1"/>
    </xf>
    <xf numFmtId="0" fontId="26" fillId="2" borderId="5" xfId="9" applyFont="1" applyFill="1" applyBorder="1" applyAlignment="1">
      <alignment shrinkToFit="1"/>
    </xf>
    <xf numFmtId="49" fontId="26" fillId="2" borderId="5" xfId="9" applyNumberFormat="1" applyFont="1" applyFill="1" applyBorder="1" applyAlignment="1">
      <alignment vertical="center" wrapText="1"/>
    </xf>
    <xf numFmtId="49" fontId="26" fillId="2" borderId="5" xfId="9" applyNumberFormat="1" applyFont="1" applyFill="1" applyBorder="1" applyAlignment="1">
      <alignment vertical="center" shrinkToFit="1"/>
    </xf>
    <xf numFmtId="0" fontId="27" fillId="2" borderId="5" xfId="9" quotePrefix="1" applyFont="1" applyFill="1" applyBorder="1" applyAlignment="1">
      <alignment horizontal="center" vertical="center"/>
    </xf>
    <xf numFmtId="0" fontId="26" fillId="2" borderId="5" xfId="9" quotePrefix="1" applyFont="1" applyFill="1" applyBorder="1" applyAlignment="1">
      <alignment horizontal="center" vertical="center"/>
    </xf>
    <xf numFmtId="164" fontId="2" fillId="0" borderId="0" xfId="0" applyNumberFormat="1" applyFont="1" applyFill="1" applyAlignment="1">
      <alignment horizontal="right"/>
    </xf>
    <xf numFmtId="165" fontId="5" fillId="2" borderId="4" xfId="1" applyNumberFormat="1" applyFont="1" applyFill="1" applyBorder="1" applyAlignment="1">
      <alignment horizontal="center" vertical="center" wrapText="1"/>
    </xf>
    <xf numFmtId="165" fontId="5" fillId="2" borderId="5" xfId="1" applyNumberFormat="1" applyFont="1" applyFill="1" applyBorder="1" applyAlignment="1">
      <alignment horizontal="center" vertical="center" wrapText="1"/>
    </xf>
    <xf numFmtId="0" fontId="5" fillId="2" borderId="4" xfId="0" applyFont="1" applyFill="1" applyBorder="1" applyAlignment="1">
      <alignment horizontal="center" vertical="center"/>
    </xf>
    <xf numFmtId="0" fontId="6" fillId="2" borderId="4" xfId="0" applyFont="1" applyFill="1" applyBorder="1" applyAlignment="1">
      <alignment horizontal="center" vertical="center"/>
    </xf>
    <xf numFmtId="165" fontId="30" fillId="0" borderId="5" xfId="1" applyNumberFormat="1" applyFont="1" applyFill="1" applyBorder="1" applyAlignment="1">
      <alignment horizontal="center" shrinkToFit="1"/>
    </xf>
    <xf numFmtId="0" fontId="30" fillId="0" borderId="5" xfId="0" applyFont="1" applyFill="1" applyBorder="1" applyAlignment="1">
      <alignment horizontal="center" wrapText="1"/>
    </xf>
    <xf numFmtId="0" fontId="30" fillId="0" borderId="5" xfId="0" applyFont="1" applyFill="1" applyBorder="1" applyAlignment="1">
      <alignment wrapText="1"/>
    </xf>
    <xf numFmtId="0" fontId="34" fillId="0" borderId="5" xfId="0" applyFont="1" applyFill="1" applyBorder="1" applyAlignment="1">
      <alignment wrapText="1"/>
    </xf>
    <xf numFmtId="0" fontId="30" fillId="0" borderId="4"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5" xfId="0" applyFont="1" applyFill="1" applyBorder="1" applyAlignment="1">
      <alignment horizontal="left" vertical="center" wrapText="1"/>
    </xf>
    <xf numFmtId="0" fontId="30" fillId="0" borderId="7" xfId="0" applyFont="1" applyFill="1" applyBorder="1" applyAlignment="1">
      <alignment horizontal="center"/>
    </xf>
    <xf numFmtId="0" fontId="30" fillId="0" borderId="8" xfId="0" applyFont="1" applyFill="1" applyBorder="1" applyAlignment="1">
      <alignment horizontal="center"/>
    </xf>
    <xf numFmtId="165" fontId="30" fillId="0" borderId="8" xfId="1" applyNumberFormat="1" applyFont="1" applyFill="1" applyBorder="1" applyAlignment="1">
      <alignment shrinkToFit="1"/>
    </xf>
    <xf numFmtId="165" fontId="34" fillId="0" borderId="8" xfId="1" applyNumberFormat="1" applyFont="1" applyFill="1" applyBorder="1"/>
    <xf numFmtId="165" fontId="30" fillId="0" borderId="9" xfId="1" applyNumberFormat="1" applyFont="1" applyFill="1" applyBorder="1" applyAlignment="1">
      <alignment shrinkToFit="1"/>
    </xf>
    <xf numFmtId="0" fontId="30" fillId="0" borderId="0" xfId="0" applyFont="1" applyFill="1" applyBorder="1" applyAlignment="1">
      <alignment horizontal="center"/>
    </xf>
    <xf numFmtId="165" fontId="30" fillId="0" borderId="0" xfId="1" applyNumberFormat="1" applyFont="1" applyFill="1" applyBorder="1" applyAlignment="1">
      <alignment shrinkToFit="1"/>
    </xf>
    <xf numFmtId="165" fontId="34" fillId="0" borderId="0" xfId="1" applyNumberFormat="1" applyFont="1" applyFill="1" applyBorder="1"/>
    <xf numFmtId="0" fontId="30" fillId="0" borderId="4" xfId="0" applyFont="1" applyFill="1" applyBorder="1" applyAlignment="1">
      <alignment horizontal="center" vertical="center"/>
    </xf>
    <xf numFmtId="0" fontId="34" fillId="0" borderId="4" xfId="0" applyFont="1" applyFill="1" applyBorder="1" applyAlignment="1">
      <alignment horizontal="center" vertical="center"/>
    </xf>
    <xf numFmtId="165" fontId="30" fillId="0" borderId="5" xfId="1" applyNumberFormat="1" applyFont="1" applyFill="1" applyBorder="1" applyAlignment="1">
      <alignment horizontal="right" vertical="center" shrinkToFit="1"/>
    </xf>
    <xf numFmtId="165" fontId="30" fillId="0" borderId="6" xfId="1" applyNumberFormat="1" applyFont="1" applyFill="1" applyBorder="1" applyAlignment="1">
      <alignment horizontal="right" vertical="center" shrinkToFit="1"/>
    </xf>
    <xf numFmtId="165" fontId="34" fillId="0" borderId="5" xfId="1" applyNumberFormat="1" applyFont="1" applyFill="1" applyBorder="1" applyAlignment="1">
      <alignment horizontal="right" vertical="center" shrinkToFit="1"/>
    </xf>
    <xf numFmtId="165" fontId="34" fillId="0" borderId="6" xfId="1" applyNumberFormat="1" applyFont="1" applyFill="1" applyBorder="1" applyAlignment="1">
      <alignment horizontal="right" vertical="center" shrinkToFit="1"/>
    </xf>
    <xf numFmtId="165" fontId="34" fillId="0" borderId="0" xfId="1" applyNumberFormat="1" applyFont="1" applyFill="1" applyBorder="1" applyAlignment="1">
      <alignment horizontal="right" vertical="center" shrinkToFit="1"/>
    </xf>
    <xf numFmtId="3" fontId="34" fillId="0" borderId="5" xfId="1" applyNumberFormat="1" applyFont="1" applyFill="1" applyBorder="1" applyAlignment="1">
      <alignment horizontal="right" vertical="center" shrinkToFit="1"/>
    </xf>
    <xf numFmtId="3" fontId="30" fillId="0" borderId="5" xfId="1" applyNumberFormat="1" applyFont="1" applyFill="1" applyBorder="1" applyAlignment="1">
      <alignment horizontal="right" vertical="center" shrinkToFit="1"/>
    </xf>
    <xf numFmtId="0" fontId="5" fillId="0" borderId="10" xfId="7" applyNumberFormat="1" applyFont="1" applyFill="1" applyBorder="1" applyAlignment="1">
      <alignment horizontal="center" vertical="center" wrapText="1"/>
    </xf>
    <xf numFmtId="0" fontId="5" fillId="0" borderId="11" xfId="7"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41" fontId="23" fillId="0" borderId="0"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25" fillId="2" borderId="5" xfId="9" applyFont="1" applyFill="1" applyBorder="1" applyAlignment="1">
      <alignment horizontal="center" vertical="center" wrapText="1"/>
    </xf>
    <xf numFmtId="0" fontId="28" fillId="2" borderId="0" xfId="9" applyFont="1" applyFill="1" applyAlignment="1">
      <alignment horizontal="center" vertical="center" wrapText="1"/>
    </xf>
    <xf numFmtId="0" fontId="29" fillId="2" borderId="0" xfId="9" applyFont="1" applyFill="1" applyAlignment="1">
      <alignment horizontal="center" vertical="center" wrapText="1"/>
    </xf>
    <xf numFmtId="0" fontId="25" fillId="2" borderId="5" xfId="7" applyFont="1" applyFill="1" applyBorder="1" applyAlignment="1">
      <alignment horizontal="center" vertical="center" wrapText="1"/>
    </xf>
    <xf numFmtId="0" fontId="25" fillId="2" borderId="12" xfId="7" applyFont="1" applyFill="1" applyBorder="1" applyAlignment="1">
      <alignment horizontal="center" vertical="center" wrapText="1"/>
    </xf>
    <xf numFmtId="0" fontId="25" fillId="2" borderId="13" xfId="7" applyFont="1" applyFill="1" applyBorder="1" applyAlignment="1">
      <alignment horizontal="center" vertical="center" wrapText="1"/>
    </xf>
    <xf numFmtId="0" fontId="25" fillId="2" borderId="14" xfId="7" applyFont="1" applyFill="1" applyBorder="1" applyAlignment="1">
      <alignment horizontal="center" vertical="center" wrapText="1"/>
    </xf>
    <xf numFmtId="0" fontId="2" fillId="0" borderId="0" xfId="0" applyFont="1" applyFill="1" applyAlignment="1">
      <alignment horizontal="center"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43" fontId="5" fillId="2" borderId="0" xfId="1" applyFont="1" applyFill="1" applyAlignment="1">
      <alignment horizontal="center" vertical="center"/>
    </xf>
    <xf numFmtId="164" fontId="5" fillId="2" borderId="0" xfId="1" applyNumberFormat="1" applyFont="1" applyFill="1" applyAlignment="1">
      <alignment horizontal="center" vertical="center"/>
    </xf>
    <xf numFmtId="0" fontId="23" fillId="2" borderId="0" xfId="0" applyFont="1" applyFill="1" applyAlignment="1">
      <alignment horizontal="center" vertical="center" wrapText="1"/>
    </xf>
    <xf numFmtId="0" fontId="23" fillId="2" borderId="0" xfId="0" applyFont="1" applyFill="1" applyAlignment="1">
      <alignment horizontal="center" vertical="center"/>
    </xf>
    <xf numFmtId="0" fontId="24" fillId="2" borderId="0" xfId="0" applyFont="1" applyFill="1" applyAlignment="1">
      <alignment horizontal="center"/>
    </xf>
    <xf numFmtId="164" fontId="11" fillId="2" borderId="0" xfId="1" applyNumberFormat="1" applyFont="1" applyFill="1" applyAlignment="1">
      <alignment horizontal="center" vertical="center"/>
    </xf>
    <xf numFmtId="164" fontId="5" fillId="2" borderId="2" xfId="1" applyNumberFormat="1" applyFont="1" applyFill="1" applyBorder="1" applyAlignment="1">
      <alignment horizontal="center" vertical="center" wrapText="1"/>
    </xf>
    <xf numFmtId="164" fontId="5" fillId="2" borderId="5" xfId="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164" fontId="5" fillId="2" borderId="2" xfId="1" applyNumberFormat="1" applyFont="1" applyFill="1" applyBorder="1" applyAlignment="1">
      <alignment vertical="center" wrapText="1"/>
    </xf>
    <xf numFmtId="164" fontId="5" fillId="2" borderId="5" xfId="1" applyNumberFormat="1" applyFont="1" applyFill="1" applyBorder="1" applyAlignment="1">
      <alignment vertical="center" wrapText="1"/>
    </xf>
    <xf numFmtId="0" fontId="35" fillId="0" borderId="0" xfId="0" applyFont="1" applyFill="1" applyBorder="1" applyAlignment="1">
      <alignment horizontal="left" wrapText="1"/>
    </xf>
    <xf numFmtId="0" fontId="35" fillId="0" borderId="0" xfId="0" applyFont="1" applyFill="1" applyBorder="1" applyAlignment="1">
      <alignment horizontal="left"/>
    </xf>
    <xf numFmtId="0" fontId="30" fillId="0" borderId="4" xfId="0" applyFont="1" applyFill="1" applyBorder="1" applyAlignment="1">
      <alignment horizontal="center"/>
    </xf>
    <xf numFmtId="0" fontId="30" fillId="0" borderId="5" xfId="0" applyFont="1" applyFill="1" applyBorder="1" applyAlignment="1">
      <alignment horizontal="center"/>
    </xf>
    <xf numFmtId="165" fontId="2" fillId="0" borderId="0" xfId="1" applyNumberFormat="1" applyFont="1" applyFill="1" applyBorder="1" applyAlignment="1">
      <alignment horizontal="center" shrinkToFit="1"/>
    </xf>
    <xf numFmtId="0" fontId="2" fillId="0" borderId="15" xfId="0" applyFont="1" applyFill="1" applyBorder="1" applyAlignment="1">
      <alignment horizontal="center" wrapText="1"/>
    </xf>
    <xf numFmtId="0" fontId="30" fillId="0" borderId="1" xfId="0" applyFont="1" applyFill="1" applyBorder="1" applyAlignment="1">
      <alignment horizontal="center"/>
    </xf>
    <xf numFmtId="0" fontId="30" fillId="0" borderId="2" xfId="0" applyFont="1" applyFill="1" applyBorder="1" applyAlignment="1">
      <alignment horizontal="center" wrapText="1"/>
    </xf>
    <xf numFmtId="0" fontId="30" fillId="0" borderId="5" xfId="0" applyFont="1" applyFill="1" applyBorder="1" applyAlignment="1">
      <alignment horizontal="center" wrapText="1"/>
    </xf>
    <xf numFmtId="165" fontId="30" fillId="0" borderId="2" xfId="1" applyNumberFormat="1" applyFont="1" applyFill="1" applyBorder="1" applyAlignment="1">
      <alignment horizontal="center" shrinkToFit="1"/>
    </xf>
    <xf numFmtId="165" fontId="30" fillId="0" borderId="3" xfId="1" applyNumberFormat="1" applyFont="1" applyFill="1" applyBorder="1" applyAlignment="1">
      <alignment horizontal="center" shrinkToFit="1"/>
    </xf>
    <xf numFmtId="165" fontId="30" fillId="0" borderId="6" xfId="1" applyNumberFormat="1" applyFont="1" applyFill="1" applyBorder="1" applyAlignment="1">
      <alignment horizontal="center" shrinkToFit="1"/>
    </xf>
    <xf numFmtId="0" fontId="4" fillId="0" borderId="0" xfId="0" applyFont="1" applyFill="1" applyBorder="1" applyAlignment="1">
      <alignment horizontal="center"/>
    </xf>
  </cellXfs>
  <cellStyles count="11">
    <cellStyle name="Comma" xfId="1" builtinId="3"/>
    <cellStyle name="Normal" xfId="0" builtinId="0"/>
    <cellStyle name="Normal 2 19" xfId="4"/>
    <cellStyle name="Normal 2 22" xfId="9"/>
    <cellStyle name="Normal 29" xfId="3"/>
    <cellStyle name="Normal 3" xfId="6"/>
    <cellStyle name="Normal 3 21" xfId="8"/>
    <cellStyle name="Normal 36" xfId="5"/>
    <cellStyle name="Normal_KHCONLAI" xfId="10"/>
    <cellStyle name="Normal_Sheet1" xfId="7"/>
    <cellStyle name="Normal_Tong hop bien che, lao dong tien luong 2013 huyen Son Ha"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7"/>
  <sheetViews>
    <sheetView tabSelected="1" topLeftCell="A13" zoomScale="130" zoomScaleNormal="130" workbookViewId="0">
      <selection activeCell="D33" sqref="D33:D35"/>
    </sheetView>
  </sheetViews>
  <sheetFormatPr defaultColWidth="9.109375" defaultRowHeight="13.2" x14ac:dyDescent="0.3"/>
  <cols>
    <col min="1" max="1" width="4.6640625" style="22" customWidth="1"/>
    <col min="2" max="2" width="26" style="22" customWidth="1"/>
    <col min="3" max="3" width="15" style="22" customWidth="1"/>
    <col min="4" max="4" width="14.88671875" style="22" customWidth="1"/>
    <col min="5" max="5" width="14" style="23" customWidth="1"/>
    <col min="6" max="6" width="14.109375" style="23" customWidth="1"/>
    <col min="7" max="7" width="14.21875" style="23" customWidth="1"/>
    <col min="8" max="8" width="17" style="23" customWidth="1"/>
    <col min="9" max="9" width="15.5546875" style="23" bestFit="1" customWidth="1"/>
    <col min="10" max="16384" width="9.109375" style="23"/>
  </cols>
  <sheetData>
    <row r="1" spans="1:7" ht="17.399999999999999" customHeight="1" x14ac:dyDescent="0.3">
      <c r="A1" s="21"/>
      <c r="G1" s="24" t="s">
        <v>157</v>
      </c>
    </row>
    <row r="2" spans="1:7" ht="18" customHeight="1" x14ac:dyDescent="0.3">
      <c r="A2" s="159" t="s">
        <v>117</v>
      </c>
      <c r="B2" s="160"/>
      <c r="C2" s="160"/>
      <c r="D2" s="160"/>
      <c r="E2" s="160"/>
      <c r="F2" s="160"/>
      <c r="G2" s="160"/>
    </row>
    <row r="3" spans="1:7" ht="31.2" customHeight="1" x14ac:dyDescent="0.3">
      <c r="A3" s="161" t="str">
        <f>'Biểu mẫu 03'!A4:C4</f>
        <v>(Kèm theo Nghị quyết số:         /NQ-HNND ngày      /7/2025 của HĐND xã Sơn Hà)</v>
      </c>
      <c r="B3" s="161"/>
      <c r="C3" s="161"/>
      <c r="D3" s="161"/>
      <c r="E3" s="161"/>
      <c r="F3" s="161"/>
      <c r="G3" s="161"/>
    </row>
    <row r="4" spans="1:7" ht="18" customHeight="1" x14ac:dyDescent="0.3">
      <c r="A4" s="25"/>
      <c r="B4" s="25"/>
      <c r="C4" s="25"/>
      <c r="D4" s="25"/>
      <c r="E4" s="26"/>
      <c r="F4" s="25"/>
      <c r="G4" s="27" t="s">
        <v>118</v>
      </c>
    </row>
    <row r="5" spans="1:7" ht="31.8" customHeight="1" x14ac:dyDescent="0.3">
      <c r="A5" s="157" t="s">
        <v>97</v>
      </c>
      <c r="B5" s="157" t="s">
        <v>90</v>
      </c>
      <c r="C5" s="157" t="s">
        <v>332</v>
      </c>
      <c r="D5" s="157" t="s">
        <v>155</v>
      </c>
      <c r="E5" s="162" t="s">
        <v>154</v>
      </c>
      <c r="F5" s="163"/>
      <c r="G5" s="164"/>
    </row>
    <row r="6" spans="1:7" ht="73.2" customHeight="1" x14ac:dyDescent="0.3">
      <c r="A6" s="158"/>
      <c r="B6" s="158"/>
      <c r="C6" s="158"/>
      <c r="D6" s="158"/>
      <c r="E6" s="28" t="s">
        <v>119</v>
      </c>
      <c r="F6" s="28" t="s">
        <v>120</v>
      </c>
      <c r="G6" s="28" t="s">
        <v>121</v>
      </c>
    </row>
    <row r="7" spans="1:7" s="31" customFormat="1" ht="15" customHeight="1" x14ac:dyDescent="0.3">
      <c r="A7" s="29" t="s">
        <v>4</v>
      </c>
      <c r="B7" s="29" t="s">
        <v>5</v>
      </c>
      <c r="C7" s="30">
        <v>1</v>
      </c>
      <c r="D7" s="30" t="s">
        <v>156</v>
      </c>
      <c r="E7" s="30">
        <v>3</v>
      </c>
      <c r="F7" s="30">
        <v>4</v>
      </c>
      <c r="G7" s="30">
        <v>5</v>
      </c>
    </row>
    <row r="8" spans="1:7" s="31" customFormat="1" ht="21" customHeight="1" x14ac:dyDescent="0.3">
      <c r="A8" s="32" t="s">
        <v>7</v>
      </c>
      <c r="B8" s="38" t="s">
        <v>122</v>
      </c>
      <c r="C8" s="40">
        <v>1470000000</v>
      </c>
      <c r="D8" s="40">
        <f>E8+F8+G8</f>
        <v>1470000000</v>
      </c>
      <c r="E8" s="40">
        <v>1355000000</v>
      </c>
      <c r="F8" s="40">
        <v>45000000</v>
      </c>
      <c r="G8" s="40">
        <v>70000000</v>
      </c>
    </row>
    <row r="9" spans="1:7" s="34" customFormat="1" ht="39.6" x14ac:dyDescent="0.3">
      <c r="A9" s="33">
        <v>1</v>
      </c>
      <c r="B9" s="46" t="s">
        <v>123</v>
      </c>
      <c r="C9" s="41">
        <v>820000000</v>
      </c>
      <c r="D9" s="40">
        <f t="shared" ref="D9:D36" si="0">E9+F9+G9</f>
        <v>820000000</v>
      </c>
      <c r="E9" s="41">
        <v>760000000</v>
      </c>
      <c r="F9" s="41">
        <v>20000000</v>
      </c>
      <c r="G9" s="41">
        <v>40000000</v>
      </c>
    </row>
    <row r="10" spans="1:7" s="34" customFormat="1" ht="19.95" customHeight="1" x14ac:dyDescent="0.3">
      <c r="A10" s="35" t="s">
        <v>9</v>
      </c>
      <c r="B10" s="47" t="s">
        <v>91</v>
      </c>
      <c r="C10" s="42">
        <v>810000000</v>
      </c>
      <c r="D10" s="40">
        <f t="shared" si="0"/>
        <v>810000000</v>
      </c>
      <c r="E10" s="43">
        <v>750000000</v>
      </c>
      <c r="F10" s="43">
        <v>20000000</v>
      </c>
      <c r="G10" s="43">
        <v>40000000</v>
      </c>
    </row>
    <row r="11" spans="1:7" s="34" customFormat="1" ht="19.95" customHeight="1" x14ac:dyDescent="0.3">
      <c r="A11" s="35" t="s">
        <v>9</v>
      </c>
      <c r="B11" s="47" t="s">
        <v>92</v>
      </c>
      <c r="C11" s="42">
        <v>0</v>
      </c>
      <c r="D11" s="40">
        <f t="shared" si="0"/>
        <v>0</v>
      </c>
      <c r="E11" s="43">
        <v>0</v>
      </c>
      <c r="F11" s="43">
        <v>0</v>
      </c>
      <c r="G11" s="43">
        <v>0</v>
      </c>
    </row>
    <row r="12" spans="1:7" s="34" customFormat="1" ht="26.4" x14ac:dyDescent="0.3">
      <c r="A12" s="35" t="s">
        <v>9</v>
      </c>
      <c r="B12" s="47" t="s">
        <v>124</v>
      </c>
      <c r="C12" s="42">
        <v>10000000</v>
      </c>
      <c r="D12" s="40">
        <f t="shared" si="0"/>
        <v>10000000</v>
      </c>
      <c r="E12" s="43">
        <v>10000000</v>
      </c>
      <c r="F12" s="43">
        <v>0</v>
      </c>
      <c r="G12" s="43">
        <v>0</v>
      </c>
    </row>
    <row r="13" spans="1:7" s="34" customFormat="1" ht="19.95" customHeight="1" x14ac:dyDescent="0.3">
      <c r="A13" s="35" t="s">
        <v>9</v>
      </c>
      <c r="B13" s="47" t="s">
        <v>125</v>
      </c>
      <c r="C13" s="42">
        <v>0</v>
      </c>
      <c r="D13" s="40">
        <f t="shared" si="0"/>
        <v>0</v>
      </c>
      <c r="E13" s="43">
        <v>0</v>
      </c>
      <c r="F13" s="43">
        <v>0</v>
      </c>
      <c r="G13" s="43">
        <v>0</v>
      </c>
    </row>
    <row r="14" spans="1:7" s="34" customFormat="1" ht="19.95" customHeight="1" x14ac:dyDescent="0.3">
      <c r="A14" s="33">
        <v>2</v>
      </c>
      <c r="B14" s="46" t="s">
        <v>126</v>
      </c>
      <c r="C14" s="41">
        <v>80000000</v>
      </c>
      <c r="D14" s="40">
        <f t="shared" si="0"/>
        <v>80000000</v>
      </c>
      <c r="E14" s="43">
        <v>80000000</v>
      </c>
      <c r="F14" s="43">
        <v>0</v>
      </c>
      <c r="G14" s="43">
        <v>0</v>
      </c>
    </row>
    <row r="15" spans="1:7" s="34" customFormat="1" ht="19.95" customHeight="1" x14ac:dyDescent="0.3">
      <c r="A15" s="33">
        <v>3</v>
      </c>
      <c r="B15" s="46" t="s">
        <v>93</v>
      </c>
      <c r="C15" s="41">
        <v>10000000</v>
      </c>
      <c r="D15" s="40">
        <f t="shared" si="0"/>
        <v>10000000</v>
      </c>
      <c r="E15" s="43">
        <v>10000000</v>
      </c>
      <c r="F15" s="43">
        <v>0</v>
      </c>
      <c r="G15" s="43">
        <v>0</v>
      </c>
    </row>
    <row r="16" spans="1:7" s="34" customFormat="1" ht="19.95" customHeight="1" x14ac:dyDescent="0.3">
      <c r="A16" s="33">
        <v>4</v>
      </c>
      <c r="B16" s="46" t="s">
        <v>94</v>
      </c>
      <c r="C16" s="41">
        <v>405000000</v>
      </c>
      <c r="D16" s="40">
        <f t="shared" si="0"/>
        <v>405000000</v>
      </c>
      <c r="E16" s="43">
        <v>375000000</v>
      </c>
      <c r="F16" s="43">
        <v>10000000</v>
      </c>
      <c r="G16" s="43">
        <v>20000000</v>
      </c>
    </row>
    <row r="17" spans="1:7" s="34" customFormat="1" ht="26.4" x14ac:dyDescent="0.3">
      <c r="A17" s="33">
        <v>5</v>
      </c>
      <c r="B17" s="46" t="s">
        <v>127</v>
      </c>
      <c r="C17" s="41">
        <v>155000000</v>
      </c>
      <c r="D17" s="40">
        <f t="shared" si="0"/>
        <v>155000000</v>
      </c>
      <c r="E17" s="43">
        <v>130000000</v>
      </c>
      <c r="F17" s="43">
        <v>15000000</v>
      </c>
      <c r="G17" s="43">
        <v>10000000</v>
      </c>
    </row>
    <row r="18" spans="1:7" s="34" customFormat="1" ht="39.6" x14ac:dyDescent="0.3">
      <c r="A18" s="33"/>
      <c r="B18" s="48" t="s">
        <v>128</v>
      </c>
      <c r="C18" s="42">
        <v>0</v>
      </c>
      <c r="D18" s="40">
        <f t="shared" si="0"/>
        <v>0</v>
      </c>
      <c r="E18" s="43">
        <v>0</v>
      </c>
      <c r="F18" s="43">
        <v>0</v>
      </c>
      <c r="G18" s="43">
        <v>0</v>
      </c>
    </row>
    <row r="19" spans="1:7" s="34" customFormat="1" ht="21" customHeight="1" x14ac:dyDescent="0.3">
      <c r="A19" s="33">
        <v>6</v>
      </c>
      <c r="B19" s="46" t="s">
        <v>129</v>
      </c>
      <c r="C19" s="42">
        <v>0</v>
      </c>
      <c r="D19" s="40">
        <f t="shared" si="0"/>
        <v>0</v>
      </c>
      <c r="E19" s="43">
        <v>0</v>
      </c>
      <c r="F19" s="43">
        <v>0</v>
      </c>
      <c r="G19" s="43">
        <v>0</v>
      </c>
    </row>
    <row r="20" spans="1:7" s="34" customFormat="1" ht="26.4" x14ac:dyDescent="0.3">
      <c r="A20" s="33">
        <v>7</v>
      </c>
      <c r="B20" s="46" t="s">
        <v>130</v>
      </c>
      <c r="C20" s="42">
        <v>0</v>
      </c>
      <c r="D20" s="40">
        <f t="shared" si="0"/>
        <v>0</v>
      </c>
      <c r="E20" s="43">
        <v>0</v>
      </c>
      <c r="F20" s="43">
        <v>0</v>
      </c>
      <c r="G20" s="43">
        <v>0</v>
      </c>
    </row>
    <row r="21" spans="1:7" s="34" customFormat="1" ht="24.6" customHeight="1" x14ac:dyDescent="0.3">
      <c r="A21" s="33">
        <v>8</v>
      </c>
      <c r="B21" s="46" t="s">
        <v>131</v>
      </c>
      <c r="C21" s="42">
        <v>0</v>
      </c>
      <c r="D21" s="40">
        <f t="shared" si="0"/>
        <v>0</v>
      </c>
      <c r="E21" s="43">
        <v>0</v>
      </c>
      <c r="F21" s="43">
        <v>0</v>
      </c>
      <c r="G21" s="43">
        <v>0</v>
      </c>
    </row>
    <row r="22" spans="1:7" s="34" customFormat="1" ht="26.4" x14ac:dyDescent="0.3">
      <c r="A22" s="33">
        <v>9</v>
      </c>
      <c r="B22" s="46" t="s">
        <v>132</v>
      </c>
      <c r="C22" s="42">
        <v>0</v>
      </c>
      <c r="D22" s="40">
        <f t="shared" si="0"/>
        <v>0</v>
      </c>
      <c r="E22" s="43">
        <v>0</v>
      </c>
      <c r="F22" s="43">
        <v>0</v>
      </c>
      <c r="G22" s="43">
        <v>0</v>
      </c>
    </row>
    <row r="23" spans="1:7" s="36" customFormat="1" ht="19.95" customHeight="1" x14ac:dyDescent="0.3">
      <c r="A23" s="33">
        <v>9</v>
      </c>
      <c r="B23" s="46" t="s">
        <v>95</v>
      </c>
      <c r="C23" s="42">
        <v>0</v>
      </c>
      <c r="D23" s="40">
        <f t="shared" si="0"/>
        <v>0</v>
      </c>
      <c r="E23" s="43">
        <v>0</v>
      </c>
      <c r="F23" s="43">
        <v>0</v>
      </c>
      <c r="G23" s="43">
        <v>0</v>
      </c>
    </row>
    <row r="24" spans="1:7" ht="19.95" customHeight="1" x14ac:dyDescent="0.3">
      <c r="A24" s="35"/>
      <c r="B24" s="48" t="s">
        <v>133</v>
      </c>
      <c r="C24" s="42">
        <v>0</v>
      </c>
      <c r="D24" s="40">
        <f t="shared" si="0"/>
        <v>0</v>
      </c>
      <c r="E24" s="43">
        <v>0</v>
      </c>
      <c r="F24" s="43">
        <v>0</v>
      </c>
      <c r="G24" s="43">
        <v>0</v>
      </c>
    </row>
    <row r="25" spans="1:7" ht="19.95" customHeight="1" x14ac:dyDescent="0.3">
      <c r="A25" s="33">
        <v>10</v>
      </c>
      <c r="B25" s="46" t="s">
        <v>134</v>
      </c>
      <c r="C25" s="42">
        <v>0</v>
      </c>
      <c r="D25" s="40">
        <f t="shared" si="0"/>
        <v>0</v>
      </c>
      <c r="E25" s="43">
        <v>0</v>
      </c>
      <c r="F25" s="43">
        <v>0</v>
      </c>
      <c r="G25" s="43">
        <v>0</v>
      </c>
    </row>
    <row r="26" spans="1:7" ht="19.95" customHeight="1" x14ac:dyDescent="0.3">
      <c r="A26" s="33">
        <v>11</v>
      </c>
      <c r="B26" s="46" t="s">
        <v>135</v>
      </c>
      <c r="C26" s="42">
        <v>0</v>
      </c>
      <c r="D26" s="40">
        <f t="shared" si="0"/>
        <v>0</v>
      </c>
      <c r="E26" s="43">
        <v>0</v>
      </c>
      <c r="F26" s="43">
        <v>0</v>
      </c>
      <c r="G26" s="43">
        <v>0</v>
      </c>
    </row>
    <row r="27" spans="1:7" s="36" customFormat="1" ht="22.2" customHeight="1" x14ac:dyDescent="0.3">
      <c r="A27" s="37" t="s">
        <v>25</v>
      </c>
      <c r="B27" s="38" t="s">
        <v>136</v>
      </c>
      <c r="C27" s="44">
        <v>135811181494.72943</v>
      </c>
      <c r="D27" s="40">
        <f t="shared" si="0"/>
        <v>135811181494.72943</v>
      </c>
      <c r="E27" s="44">
        <v>70704851209.743546</v>
      </c>
      <c r="F27" s="44">
        <v>31428654329.519112</v>
      </c>
      <c r="G27" s="44">
        <v>33677675955.46677</v>
      </c>
    </row>
    <row r="28" spans="1:7" s="36" customFormat="1" ht="26.4" customHeight="1" x14ac:dyDescent="0.3">
      <c r="A28" s="33">
        <v>1</v>
      </c>
      <c r="B28" s="46" t="s">
        <v>137</v>
      </c>
      <c r="C28" s="45">
        <v>135811181494.72943</v>
      </c>
      <c r="D28" s="43">
        <f t="shared" si="0"/>
        <v>135811181494.72943</v>
      </c>
      <c r="E28" s="45">
        <v>70704851209.743546</v>
      </c>
      <c r="F28" s="45">
        <v>31428654329.519112</v>
      </c>
      <c r="G28" s="45">
        <v>33677675955.46677</v>
      </c>
    </row>
    <row r="29" spans="1:7" ht="36" customHeight="1" x14ac:dyDescent="0.3">
      <c r="A29" s="33" t="s">
        <v>99</v>
      </c>
      <c r="B29" s="46" t="s">
        <v>138</v>
      </c>
      <c r="C29" s="45">
        <v>2099200000</v>
      </c>
      <c r="D29" s="43">
        <f t="shared" si="0"/>
        <v>2099200000</v>
      </c>
      <c r="E29" s="45">
        <v>455600000</v>
      </c>
      <c r="F29" s="45">
        <v>21200000</v>
      </c>
      <c r="G29" s="45">
        <v>1622400000</v>
      </c>
    </row>
    <row r="30" spans="1:7" ht="29.4" customHeight="1" x14ac:dyDescent="0.3">
      <c r="A30" s="35" t="s">
        <v>9</v>
      </c>
      <c r="B30" s="48" t="s">
        <v>139</v>
      </c>
      <c r="C30" s="41">
        <v>245000000</v>
      </c>
      <c r="D30" s="43">
        <f t="shared" si="0"/>
        <v>245000000</v>
      </c>
      <c r="E30" s="43">
        <v>220000000</v>
      </c>
      <c r="F30" s="43">
        <v>15000000</v>
      </c>
      <c r="G30" s="43">
        <v>10000000</v>
      </c>
    </row>
    <row r="31" spans="1:7" ht="31.2" customHeight="1" x14ac:dyDescent="0.3">
      <c r="A31" s="35" t="s">
        <v>9</v>
      </c>
      <c r="B31" s="48" t="s">
        <v>140</v>
      </c>
      <c r="C31" s="41">
        <v>1854200000</v>
      </c>
      <c r="D31" s="43">
        <f t="shared" si="0"/>
        <v>1854200000</v>
      </c>
      <c r="E31" s="43">
        <v>235600000</v>
      </c>
      <c r="F31" s="43">
        <v>6200000</v>
      </c>
      <c r="G31" s="43">
        <v>1612400000</v>
      </c>
    </row>
    <row r="32" spans="1:7" ht="23.4" customHeight="1" x14ac:dyDescent="0.3">
      <c r="A32" s="33" t="s">
        <v>105</v>
      </c>
      <c r="B32" s="46" t="s">
        <v>340</v>
      </c>
      <c r="C32" s="41">
        <f>SUM(C33:C35)</f>
        <v>133711981495</v>
      </c>
      <c r="D32" s="41">
        <f t="shared" ref="D32:G32" si="1">SUM(D33:D35)</f>
        <v>133711981495</v>
      </c>
      <c r="E32" s="41">
        <f t="shared" si="1"/>
        <v>70249251210</v>
      </c>
      <c r="F32" s="41">
        <f t="shared" si="1"/>
        <v>31407454330</v>
      </c>
      <c r="G32" s="41">
        <f t="shared" si="1"/>
        <v>32055275955</v>
      </c>
    </row>
    <row r="33" spans="1:7" ht="22.2" customHeight="1" x14ac:dyDescent="0.3">
      <c r="A33" s="35" t="s">
        <v>9</v>
      </c>
      <c r="B33" s="48" t="s">
        <v>115</v>
      </c>
      <c r="C33" s="41">
        <v>121287180740</v>
      </c>
      <c r="D33" s="43">
        <f>SUM(E33:G33)</f>
        <v>121287180740</v>
      </c>
      <c r="E33" s="43">
        <v>64628040778</v>
      </c>
      <c r="F33" s="43">
        <v>28062948029</v>
      </c>
      <c r="G33" s="43">
        <v>28596191933</v>
      </c>
    </row>
    <row r="34" spans="1:7" ht="26.4" x14ac:dyDescent="0.3">
      <c r="A34" s="35" t="s">
        <v>9</v>
      </c>
      <c r="B34" s="48" t="s">
        <v>141</v>
      </c>
      <c r="C34" s="41">
        <v>5634912000</v>
      </c>
      <c r="D34" s="43">
        <f t="shared" ref="D34:D35" si="2">SUM(E34:G34)</f>
        <v>5634912000</v>
      </c>
      <c r="E34" s="43">
        <v>2048586000</v>
      </c>
      <c r="F34" s="43">
        <v>1771261000</v>
      </c>
      <c r="G34" s="43">
        <v>1815065000</v>
      </c>
    </row>
    <row r="35" spans="1:7" ht="25.2" customHeight="1" x14ac:dyDescent="0.3">
      <c r="A35" s="35" t="s">
        <v>9</v>
      </c>
      <c r="B35" s="48" t="s">
        <v>116</v>
      </c>
      <c r="C35" s="41">
        <v>6789888755</v>
      </c>
      <c r="D35" s="43">
        <f t="shared" si="2"/>
        <v>6789888755</v>
      </c>
      <c r="E35" s="43">
        <v>3572624432</v>
      </c>
      <c r="F35" s="43">
        <v>1573245301</v>
      </c>
      <c r="G35" s="43">
        <v>1644019022</v>
      </c>
    </row>
    <row r="36" spans="1:7" ht="26.4" x14ac:dyDescent="0.3">
      <c r="A36" s="33">
        <v>2</v>
      </c>
      <c r="B36" s="46" t="s">
        <v>142</v>
      </c>
      <c r="C36" s="45"/>
      <c r="D36" s="40">
        <f t="shared" si="0"/>
        <v>0</v>
      </c>
      <c r="E36" s="43">
        <v>0</v>
      </c>
      <c r="F36" s="43">
        <v>0</v>
      </c>
      <c r="G36" s="43">
        <v>0</v>
      </c>
    </row>
    <row r="37" spans="1:7" ht="18.600000000000001" customHeight="1" x14ac:dyDescent="0.3">
      <c r="A37" s="39" t="s">
        <v>143</v>
      </c>
    </row>
  </sheetData>
  <mergeCells count="7">
    <mergeCell ref="A5:A6"/>
    <mergeCell ref="B5:B6"/>
    <mergeCell ref="C5:C6"/>
    <mergeCell ref="A2:G2"/>
    <mergeCell ref="A3:G3"/>
    <mergeCell ref="E5:G5"/>
    <mergeCell ref="D5:D6"/>
  </mergeCells>
  <pageMargins left="0.11811023622047245" right="7.874015748031496E-2" top="0.55118110236220474" bottom="0.55118110236220474" header="0.31496062992125984" footer="0.31496062992125984"/>
  <pageSetup paperSize="9" scale="95" orientation="portrait" verticalDpi="0" r:id="rId1"/>
  <headerFooter>
    <oddHeader>&amp;C&amp;P</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R119"/>
  <sheetViews>
    <sheetView zoomScaleNormal="100" workbookViewId="0">
      <pane xSplit="2" topLeftCell="C1" activePane="topRight" state="frozen"/>
      <selection pane="topRight" activeCell="G4" sqref="G4"/>
    </sheetView>
  </sheetViews>
  <sheetFormatPr defaultColWidth="10.44140625" defaultRowHeight="13.8" x14ac:dyDescent="0.3"/>
  <cols>
    <col min="1" max="1" width="4" style="50" customWidth="1"/>
    <col min="2" max="2" width="20.88671875" style="50" customWidth="1"/>
    <col min="3" max="3" width="12" style="50" customWidth="1"/>
    <col min="4" max="4" width="10.44140625" style="50" customWidth="1"/>
    <col min="5" max="5" width="10.88671875" style="50" customWidth="1"/>
    <col min="6" max="6" width="11.6640625" style="51" customWidth="1"/>
    <col min="7" max="7" width="11" style="51" customWidth="1"/>
    <col min="8" max="8" width="10.88671875" style="51" customWidth="1"/>
    <col min="9" max="9" width="9.88671875" style="51" customWidth="1"/>
    <col min="10" max="10" width="11" style="51" customWidth="1"/>
    <col min="11" max="11" width="10.6640625" style="51" customWidth="1"/>
    <col min="12" max="12" width="10.88671875" style="51" customWidth="1"/>
    <col min="13" max="13" width="9.5546875" style="51" customWidth="1"/>
    <col min="14" max="14" width="10.88671875" style="51" customWidth="1"/>
    <col min="15" max="15" width="10.6640625" style="51" customWidth="1"/>
    <col min="16" max="16" width="10.88671875" style="51" customWidth="1"/>
    <col min="17" max="17" width="11" style="51" customWidth="1"/>
    <col min="18" max="18" width="29.44140625" style="51" customWidth="1"/>
    <col min="19" max="19" width="14.44140625" style="51" bestFit="1" customWidth="1"/>
    <col min="20" max="16384" width="10.44140625" style="51"/>
  </cols>
  <sheetData>
    <row r="1" spans="1:18" x14ac:dyDescent="0.3">
      <c r="A1" s="49"/>
      <c r="H1" s="52"/>
      <c r="P1" s="52" t="s">
        <v>208</v>
      </c>
    </row>
    <row r="2" spans="1:18" ht="17.399999999999999" x14ac:dyDescent="0.3">
      <c r="A2" s="166" t="s">
        <v>159</v>
      </c>
      <c r="B2" s="166"/>
      <c r="C2" s="166"/>
      <c r="D2" s="166"/>
      <c r="E2" s="166"/>
      <c r="F2" s="166"/>
      <c r="G2" s="166"/>
      <c r="H2" s="166"/>
      <c r="I2" s="166"/>
      <c r="J2" s="166"/>
      <c r="K2" s="166"/>
      <c r="L2" s="166"/>
      <c r="M2" s="166"/>
      <c r="N2" s="166"/>
      <c r="O2" s="166"/>
      <c r="P2" s="166"/>
      <c r="Q2" s="166"/>
    </row>
    <row r="3" spans="1:18" ht="18" x14ac:dyDescent="0.3">
      <c r="A3" s="167" t="str">
        <f>'Biểu số 01'!A3:G3</f>
        <v>(Kèm theo Nghị quyết số:         /NQ-HNND ngày      /7/2025 của HĐND xã Sơn Hà)</v>
      </c>
      <c r="B3" s="167"/>
      <c r="C3" s="167"/>
      <c r="D3" s="167"/>
      <c r="E3" s="167"/>
      <c r="F3" s="167"/>
      <c r="G3" s="167"/>
      <c r="H3" s="167"/>
      <c r="I3" s="167"/>
      <c r="J3" s="167"/>
      <c r="K3" s="167"/>
      <c r="L3" s="167"/>
      <c r="M3" s="167"/>
      <c r="N3" s="167"/>
      <c r="O3" s="167"/>
      <c r="P3" s="167"/>
      <c r="Q3" s="167"/>
    </row>
    <row r="4" spans="1:18" x14ac:dyDescent="0.3">
      <c r="A4" s="53"/>
      <c r="B4" s="54"/>
      <c r="C4" s="54"/>
      <c r="D4" s="58"/>
      <c r="E4" s="54"/>
      <c r="F4" s="53"/>
      <c r="G4" s="53"/>
      <c r="O4" s="55" t="s">
        <v>118</v>
      </c>
    </row>
    <row r="5" spans="1:18" ht="19.8" customHeight="1" x14ac:dyDescent="0.3">
      <c r="A5" s="168" t="s">
        <v>97</v>
      </c>
      <c r="B5" s="168" t="s">
        <v>98</v>
      </c>
      <c r="C5" s="169" t="s">
        <v>160</v>
      </c>
      <c r="D5" s="170"/>
      <c r="E5" s="171"/>
      <c r="F5" s="165" t="s">
        <v>119</v>
      </c>
      <c r="G5" s="165"/>
      <c r="H5" s="165"/>
      <c r="I5" s="165" t="s">
        <v>75</v>
      </c>
      <c r="J5" s="165"/>
      <c r="K5" s="165"/>
      <c r="L5" s="165" t="s">
        <v>76</v>
      </c>
      <c r="M5" s="165"/>
      <c r="N5" s="165"/>
      <c r="O5" s="165" t="s">
        <v>333</v>
      </c>
      <c r="P5" s="165"/>
      <c r="Q5" s="165"/>
    </row>
    <row r="6" spans="1:18" x14ac:dyDescent="0.3">
      <c r="A6" s="168"/>
      <c r="B6" s="168"/>
      <c r="C6" s="165" t="s">
        <v>161</v>
      </c>
      <c r="D6" s="165" t="s">
        <v>162</v>
      </c>
      <c r="E6" s="165" t="s">
        <v>163</v>
      </c>
      <c r="F6" s="165" t="s">
        <v>161</v>
      </c>
      <c r="G6" s="165" t="s">
        <v>162</v>
      </c>
      <c r="H6" s="165" t="s">
        <v>163</v>
      </c>
      <c r="I6" s="165" t="s">
        <v>161</v>
      </c>
      <c r="J6" s="165" t="s">
        <v>162</v>
      </c>
      <c r="K6" s="165" t="s">
        <v>163</v>
      </c>
      <c r="L6" s="165" t="s">
        <v>161</v>
      </c>
      <c r="M6" s="165" t="s">
        <v>162</v>
      </c>
      <c r="N6" s="165" t="s">
        <v>163</v>
      </c>
      <c r="O6" s="165" t="s">
        <v>161</v>
      </c>
      <c r="P6" s="165" t="s">
        <v>162</v>
      </c>
      <c r="Q6" s="165" t="s">
        <v>163</v>
      </c>
    </row>
    <row r="7" spans="1:18" ht="70.2" customHeight="1" x14ac:dyDescent="0.3">
      <c r="A7" s="168"/>
      <c r="B7" s="168"/>
      <c r="C7" s="165"/>
      <c r="D7" s="165"/>
      <c r="E7" s="165"/>
      <c r="F7" s="165"/>
      <c r="G7" s="165"/>
      <c r="H7" s="165"/>
      <c r="I7" s="165"/>
      <c r="J7" s="165"/>
      <c r="K7" s="165"/>
      <c r="L7" s="165"/>
      <c r="M7" s="165"/>
      <c r="N7" s="165"/>
      <c r="O7" s="165"/>
      <c r="P7" s="165"/>
      <c r="Q7" s="165"/>
    </row>
    <row r="8" spans="1:18" s="56" customFormat="1" ht="25.2" customHeight="1" x14ac:dyDescent="0.3">
      <c r="A8" s="110"/>
      <c r="B8" s="110" t="s">
        <v>39</v>
      </c>
      <c r="C8" s="111">
        <f t="shared" ref="C8:E8" si="0">C9</f>
        <v>106859977495</v>
      </c>
      <c r="D8" s="111">
        <f t="shared" si="0"/>
        <v>51138149012</v>
      </c>
      <c r="E8" s="111">
        <f t="shared" si="0"/>
        <v>55721828483</v>
      </c>
      <c r="F8" s="111">
        <f>F9</f>
        <v>11612912000</v>
      </c>
      <c r="G8" s="111">
        <f t="shared" ref="G8:Q8" si="1">G9</f>
        <v>6363483495</v>
      </c>
      <c r="H8" s="111">
        <f t="shared" si="1"/>
        <v>5249428505</v>
      </c>
      <c r="I8" s="111">
        <f t="shared" si="1"/>
        <v>8570195000</v>
      </c>
      <c r="J8" s="111">
        <f t="shared" si="1"/>
        <v>4163696743</v>
      </c>
      <c r="K8" s="111">
        <f t="shared" si="1"/>
        <v>4406498257</v>
      </c>
      <c r="L8" s="111">
        <f t="shared" si="1"/>
        <v>8768097000</v>
      </c>
      <c r="M8" s="111">
        <f t="shared" si="1"/>
        <v>4494209237</v>
      </c>
      <c r="N8" s="111">
        <f t="shared" si="1"/>
        <v>4273887763</v>
      </c>
      <c r="O8" s="111">
        <f t="shared" si="1"/>
        <v>135811181495</v>
      </c>
      <c r="P8" s="111">
        <f t="shared" si="1"/>
        <v>66159538487</v>
      </c>
      <c r="Q8" s="111">
        <f t="shared" si="1"/>
        <v>69651643008</v>
      </c>
      <c r="R8" s="56">
        <v>135811181495</v>
      </c>
    </row>
    <row r="9" spans="1:18" s="52" customFormat="1" ht="30" customHeight="1" x14ac:dyDescent="0.3">
      <c r="A9" s="110"/>
      <c r="B9" s="112" t="s">
        <v>204</v>
      </c>
      <c r="C9" s="111">
        <f t="shared" ref="C9:Q9" si="2">C10+C13+C92</f>
        <v>106859977495</v>
      </c>
      <c r="D9" s="111">
        <f t="shared" si="2"/>
        <v>51138149012</v>
      </c>
      <c r="E9" s="111">
        <f t="shared" si="2"/>
        <v>55721828483</v>
      </c>
      <c r="F9" s="111">
        <f t="shared" si="2"/>
        <v>11612912000</v>
      </c>
      <c r="G9" s="111">
        <f t="shared" si="2"/>
        <v>6363483495</v>
      </c>
      <c r="H9" s="111">
        <f t="shared" si="2"/>
        <v>5249428505</v>
      </c>
      <c r="I9" s="111">
        <f t="shared" si="2"/>
        <v>8570195000</v>
      </c>
      <c r="J9" s="111">
        <f t="shared" si="2"/>
        <v>4163696743</v>
      </c>
      <c r="K9" s="111">
        <f t="shared" si="2"/>
        <v>4406498257</v>
      </c>
      <c r="L9" s="111">
        <f t="shared" si="2"/>
        <v>8768097000</v>
      </c>
      <c r="M9" s="111">
        <f t="shared" si="2"/>
        <v>4494209237</v>
      </c>
      <c r="N9" s="111">
        <f t="shared" si="2"/>
        <v>4273887763</v>
      </c>
      <c r="O9" s="111">
        <f t="shared" si="2"/>
        <v>135811181495</v>
      </c>
      <c r="P9" s="111">
        <f t="shared" si="2"/>
        <v>66159538487</v>
      </c>
      <c r="Q9" s="111">
        <f t="shared" si="2"/>
        <v>69651643008</v>
      </c>
      <c r="R9" s="52">
        <f>O8-R8</f>
        <v>0</v>
      </c>
    </row>
    <row r="10" spans="1:18" s="52" customFormat="1" x14ac:dyDescent="0.3">
      <c r="A10" s="110" t="s">
        <v>7</v>
      </c>
      <c r="B10" s="112" t="s">
        <v>164</v>
      </c>
      <c r="C10" s="113"/>
      <c r="D10" s="113"/>
      <c r="E10" s="113"/>
      <c r="F10" s="111"/>
      <c r="G10" s="111"/>
      <c r="H10" s="111"/>
      <c r="I10" s="111"/>
      <c r="J10" s="111"/>
      <c r="K10" s="111"/>
      <c r="L10" s="111"/>
      <c r="M10" s="111"/>
      <c r="N10" s="111"/>
      <c r="O10" s="111"/>
      <c r="P10" s="111"/>
      <c r="Q10" s="111"/>
    </row>
    <row r="11" spans="1:18" s="52" customFormat="1" ht="24" x14ac:dyDescent="0.3">
      <c r="A11" s="114" t="s">
        <v>9</v>
      </c>
      <c r="B11" s="115" t="s">
        <v>112</v>
      </c>
      <c r="C11" s="113"/>
      <c r="D11" s="113"/>
      <c r="E11" s="113"/>
      <c r="F11" s="111"/>
      <c r="G11" s="111"/>
      <c r="H11" s="111"/>
      <c r="I11" s="111"/>
      <c r="J11" s="111"/>
      <c r="K11" s="111"/>
      <c r="L11" s="111"/>
      <c r="M11" s="111"/>
      <c r="N11" s="111"/>
      <c r="O11" s="111">
        <f t="shared" ref="O11:Q12" si="3">C11+F11+I11+L11</f>
        <v>0</v>
      </c>
      <c r="P11" s="111">
        <f t="shared" si="3"/>
        <v>0</v>
      </c>
      <c r="Q11" s="111">
        <f t="shared" si="3"/>
        <v>0</v>
      </c>
      <c r="R11" s="52">
        <f>P8-P14-P47-P48-P49-P50</f>
        <v>15008389475</v>
      </c>
    </row>
    <row r="12" spans="1:18" s="52" customFormat="1" ht="28.8" customHeight="1" x14ac:dyDescent="0.3">
      <c r="A12" s="114" t="s">
        <v>9</v>
      </c>
      <c r="B12" s="115" t="s">
        <v>113</v>
      </c>
      <c r="C12" s="113"/>
      <c r="D12" s="113"/>
      <c r="E12" s="113"/>
      <c r="F12" s="111"/>
      <c r="G12" s="111"/>
      <c r="H12" s="111"/>
      <c r="I12" s="111"/>
      <c r="J12" s="111"/>
      <c r="K12" s="111"/>
      <c r="L12" s="111"/>
      <c r="M12" s="111"/>
      <c r="N12" s="111"/>
      <c r="O12" s="111">
        <f t="shared" si="3"/>
        <v>0</v>
      </c>
      <c r="P12" s="111">
        <f t="shared" si="3"/>
        <v>0</v>
      </c>
      <c r="Q12" s="111">
        <f t="shared" si="3"/>
        <v>0</v>
      </c>
      <c r="R12" s="52">
        <f>P8-P14-P47-P48-P49</f>
        <v>15021389475</v>
      </c>
    </row>
    <row r="13" spans="1:18" s="52" customFormat="1" ht="26.4" customHeight="1" x14ac:dyDescent="0.3">
      <c r="A13" s="110" t="s">
        <v>25</v>
      </c>
      <c r="B13" s="112" t="s">
        <v>26</v>
      </c>
      <c r="C13" s="111">
        <f t="shared" ref="C13:Q13" si="4">C14+C21+C23+C25+C30+C35+C40+C51+C59+C64+C78+C84+C89</f>
        <v>106859977495</v>
      </c>
      <c r="D13" s="111">
        <f t="shared" si="4"/>
        <v>51138149012</v>
      </c>
      <c r="E13" s="111">
        <f t="shared" si="4"/>
        <v>55721828483</v>
      </c>
      <c r="F13" s="111">
        <f t="shared" si="4"/>
        <v>11419800000</v>
      </c>
      <c r="G13" s="111">
        <f t="shared" si="4"/>
        <v>6363483495</v>
      </c>
      <c r="H13" s="111">
        <f t="shared" si="4"/>
        <v>5056316505</v>
      </c>
      <c r="I13" s="111">
        <f t="shared" si="4"/>
        <v>8407905000</v>
      </c>
      <c r="J13" s="111">
        <f t="shared" si="4"/>
        <v>4163696743</v>
      </c>
      <c r="K13" s="111">
        <f t="shared" si="4"/>
        <v>4244208257</v>
      </c>
      <c r="L13" s="111">
        <f t="shared" si="4"/>
        <v>8602686000</v>
      </c>
      <c r="M13" s="111">
        <f t="shared" si="4"/>
        <v>4494209237</v>
      </c>
      <c r="N13" s="111">
        <f t="shared" si="4"/>
        <v>4108476763</v>
      </c>
      <c r="O13" s="111">
        <f t="shared" si="4"/>
        <v>135290368495</v>
      </c>
      <c r="P13" s="111">
        <f t="shared" si="4"/>
        <v>66159538487</v>
      </c>
      <c r="Q13" s="111">
        <f t="shared" si="4"/>
        <v>69130830008</v>
      </c>
      <c r="R13" s="52">
        <f>R11-R12</f>
        <v>-13000000</v>
      </c>
    </row>
    <row r="14" spans="1:18" s="52" customFormat="1" ht="27.6" customHeight="1" x14ac:dyDescent="0.3">
      <c r="A14" s="110">
        <v>1</v>
      </c>
      <c r="B14" s="112" t="s">
        <v>165</v>
      </c>
      <c r="C14" s="116">
        <f>SUM(C15:C20)</f>
        <v>100591214000</v>
      </c>
      <c r="D14" s="116">
        <f t="shared" ref="D14:Q14" si="5">SUM(D15:D20)</f>
        <v>48080072512</v>
      </c>
      <c r="E14" s="116">
        <f t="shared" si="5"/>
        <v>52511141488</v>
      </c>
      <c r="F14" s="116">
        <f t="shared" si="5"/>
        <v>0</v>
      </c>
      <c r="G14" s="116">
        <f t="shared" si="5"/>
        <v>0</v>
      </c>
      <c r="H14" s="116">
        <f t="shared" si="5"/>
        <v>0</v>
      </c>
      <c r="I14" s="116">
        <f t="shared" si="5"/>
        <v>0</v>
      </c>
      <c r="J14" s="116">
        <f t="shared" si="5"/>
        <v>0</v>
      </c>
      <c r="K14" s="116">
        <f t="shared" si="5"/>
        <v>0</v>
      </c>
      <c r="L14" s="116">
        <f t="shared" si="5"/>
        <v>0</v>
      </c>
      <c r="M14" s="116">
        <f t="shared" si="5"/>
        <v>0</v>
      </c>
      <c r="N14" s="116">
        <f t="shared" si="5"/>
        <v>0</v>
      </c>
      <c r="O14" s="116">
        <f t="shared" si="5"/>
        <v>100591214000</v>
      </c>
      <c r="P14" s="116">
        <f t="shared" si="5"/>
        <v>48080072512</v>
      </c>
      <c r="Q14" s="116">
        <f t="shared" si="5"/>
        <v>52511141488</v>
      </c>
    </row>
    <row r="15" spans="1:18" s="52" customFormat="1" ht="30.6" customHeight="1" x14ac:dyDescent="0.3">
      <c r="A15" s="114" t="s">
        <v>9</v>
      </c>
      <c r="B15" s="115" t="s">
        <v>166</v>
      </c>
      <c r="C15" s="111">
        <v>87400607000</v>
      </c>
      <c r="D15" s="111">
        <v>42796921000</v>
      </c>
      <c r="E15" s="111">
        <f>C15-D15</f>
        <v>44603686000</v>
      </c>
      <c r="F15" s="111"/>
      <c r="G15" s="111"/>
      <c r="H15" s="111"/>
      <c r="I15" s="111"/>
      <c r="J15" s="111"/>
      <c r="K15" s="111"/>
      <c r="L15" s="111"/>
      <c r="M15" s="111"/>
      <c r="N15" s="111"/>
      <c r="O15" s="111">
        <f t="shared" ref="O15:Q24" si="6">C15+F15+I15+L15</f>
        <v>87400607000</v>
      </c>
      <c r="P15" s="111">
        <f t="shared" si="6"/>
        <v>42796921000</v>
      </c>
      <c r="Q15" s="111">
        <f t="shared" si="6"/>
        <v>44603686000</v>
      </c>
      <c r="R15" s="52">
        <f>'Phụ biểu 01'!J107</f>
        <v>15021389475</v>
      </c>
    </row>
    <row r="16" spans="1:18" s="52" customFormat="1" ht="51.6" customHeight="1" x14ac:dyDescent="0.3">
      <c r="A16" s="114" t="s">
        <v>9</v>
      </c>
      <c r="B16" s="115" t="s">
        <v>167</v>
      </c>
      <c r="C16" s="111">
        <v>163479000</v>
      </c>
      <c r="D16" s="111">
        <v>77313600</v>
      </c>
      <c r="E16" s="111">
        <f t="shared" ref="E16:E82" si="7">C16-D16</f>
        <v>86165400</v>
      </c>
      <c r="F16" s="111"/>
      <c r="G16" s="111"/>
      <c r="H16" s="111"/>
      <c r="I16" s="111"/>
      <c r="J16" s="111"/>
      <c r="K16" s="111"/>
      <c r="L16" s="111"/>
      <c r="M16" s="111"/>
      <c r="N16" s="111"/>
      <c r="O16" s="111">
        <f t="shared" si="6"/>
        <v>163479000</v>
      </c>
      <c r="P16" s="111">
        <f t="shared" si="6"/>
        <v>77313600</v>
      </c>
      <c r="Q16" s="111">
        <f t="shared" si="6"/>
        <v>86165400</v>
      </c>
      <c r="R16" s="52">
        <f>O8-O14</f>
        <v>35219967495</v>
      </c>
    </row>
    <row r="17" spans="1:18" s="52" customFormat="1" ht="36" x14ac:dyDescent="0.3">
      <c r="A17" s="114" t="s">
        <v>9</v>
      </c>
      <c r="B17" s="117" t="s">
        <v>202</v>
      </c>
      <c r="C17" s="111">
        <v>6027840000</v>
      </c>
      <c r="D17" s="111">
        <v>2634800000</v>
      </c>
      <c r="E17" s="111">
        <f t="shared" si="7"/>
        <v>3393040000</v>
      </c>
      <c r="F17" s="111"/>
      <c r="G17" s="111"/>
      <c r="H17" s="111"/>
      <c r="I17" s="111"/>
      <c r="J17" s="111"/>
      <c r="K17" s="111"/>
      <c r="L17" s="111"/>
      <c r="M17" s="111"/>
      <c r="N17" s="111"/>
      <c r="O17" s="111">
        <f t="shared" si="6"/>
        <v>6027840000</v>
      </c>
      <c r="P17" s="111">
        <f t="shared" si="6"/>
        <v>2634800000</v>
      </c>
      <c r="Q17" s="111">
        <f t="shared" si="6"/>
        <v>3393040000</v>
      </c>
      <c r="R17" s="52">
        <f>R16-O47-O48-O49</f>
        <v>28951204000</v>
      </c>
    </row>
    <row r="18" spans="1:18" s="52" customFormat="1" ht="46.8" customHeight="1" x14ac:dyDescent="0.3">
      <c r="A18" s="114"/>
      <c r="B18" s="117" t="s">
        <v>203</v>
      </c>
      <c r="C18" s="111">
        <v>1413938000</v>
      </c>
      <c r="D18" s="111">
        <v>243290412</v>
      </c>
      <c r="E18" s="111">
        <f t="shared" si="7"/>
        <v>1170647588</v>
      </c>
      <c r="F18" s="111"/>
      <c r="G18" s="111"/>
      <c r="H18" s="111"/>
      <c r="I18" s="111"/>
      <c r="J18" s="111"/>
      <c r="K18" s="111"/>
      <c r="L18" s="111"/>
      <c r="M18" s="111"/>
      <c r="N18" s="111"/>
      <c r="O18" s="111">
        <f t="shared" si="6"/>
        <v>1413938000</v>
      </c>
      <c r="P18" s="111">
        <f t="shared" si="6"/>
        <v>243290412</v>
      </c>
      <c r="Q18" s="111">
        <f t="shared" si="6"/>
        <v>1170647588</v>
      </c>
    </row>
    <row r="19" spans="1:18" s="52" customFormat="1" ht="36" x14ac:dyDescent="0.3">
      <c r="A19" s="114" t="s">
        <v>9</v>
      </c>
      <c r="B19" s="115" t="s">
        <v>168</v>
      </c>
      <c r="C19" s="111">
        <v>2820147000</v>
      </c>
      <c r="D19" s="111">
        <v>1814197500</v>
      </c>
      <c r="E19" s="111">
        <f t="shared" si="7"/>
        <v>1005949500</v>
      </c>
      <c r="F19" s="111"/>
      <c r="G19" s="111"/>
      <c r="H19" s="111"/>
      <c r="I19" s="111"/>
      <c r="J19" s="111"/>
      <c r="K19" s="111"/>
      <c r="L19" s="111"/>
      <c r="M19" s="111"/>
      <c r="N19" s="111"/>
      <c r="O19" s="111">
        <f t="shared" si="6"/>
        <v>2820147000</v>
      </c>
      <c r="P19" s="111">
        <f t="shared" si="6"/>
        <v>1814197500</v>
      </c>
      <c r="Q19" s="111">
        <f t="shared" si="6"/>
        <v>1005949500</v>
      </c>
    </row>
    <row r="20" spans="1:18" s="52" customFormat="1" ht="39" customHeight="1" x14ac:dyDescent="0.3">
      <c r="A20" s="114" t="s">
        <v>9</v>
      </c>
      <c r="B20" s="115" t="s">
        <v>169</v>
      </c>
      <c r="C20" s="111">
        <v>2765203000</v>
      </c>
      <c r="D20" s="111">
        <v>513550000</v>
      </c>
      <c r="E20" s="111">
        <f t="shared" si="7"/>
        <v>2251653000</v>
      </c>
      <c r="F20" s="111"/>
      <c r="G20" s="111"/>
      <c r="H20" s="111"/>
      <c r="I20" s="111"/>
      <c r="J20" s="111"/>
      <c r="K20" s="111"/>
      <c r="L20" s="111"/>
      <c r="M20" s="111"/>
      <c r="N20" s="111"/>
      <c r="O20" s="111">
        <f t="shared" si="6"/>
        <v>2765203000</v>
      </c>
      <c r="P20" s="111">
        <f t="shared" si="6"/>
        <v>513550000</v>
      </c>
      <c r="Q20" s="111">
        <f t="shared" si="6"/>
        <v>2251653000</v>
      </c>
    </row>
    <row r="21" spans="1:18" s="52" customFormat="1" ht="20.399999999999999" customHeight="1" x14ac:dyDescent="0.3">
      <c r="A21" s="110">
        <v>2</v>
      </c>
      <c r="B21" s="112" t="s">
        <v>100</v>
      </c>
      <c r="C21" s="113"/>
      <c r="D21" s="113"/>
      <c r="E21" s="111">
        <f t="shared" si="7"/>
        <v>0</v>
      </c>
      <c r="F21" s="111">
        <f t="shared" ref="F21:Q21" si="8">F22</f>
        <v>0</v>
      </c>
      <c r="G21" s="111">
        <f t="shared" si="8"/>
        <v>0</v>
      </c>
      <c r="H21" s="111">
        <f t="shared" si="8"/>
        <v>0</v>
      </c>
      <c r="I21" s="111">
        <f t="shared" si="8"/>
        <v>0</v>
      </c>
      <c r="J21" s="111">
        <f t="shared" si="8"/>
        <v>0</v>
      </c>
      <c r="K21" s="111">
        <f t="shared" si="8"/>
        <v>0</v>
      </c>
      <c r="L21" s="111">
        <f t="shared" si="8"/>
        <v>0</v>
      </c>
      <c r="M21" s="111">
        <f t="shared" si="8"/>
        <v>0</v>
      </c>
      <c r="N21" s="111">
        <f t="shared" si="8"/>
        <v>0</v>
      </c>
      <c r="O21" s="111">
        <f t="shared" si="6"/>
        <v>0</v>
      </c>
      <c r="P21" s="111">
        <f t="shared" si="6"/>
        <v>0</v>
      </c>
      <c r="Q21" s="111">
        <f t="shared" si="8"/>
        <v>0</v>
      </c>
    </row>
    <row r="22" spans="1:18" s="52" customFormat="1" x14ac:dyDescent="0.3">
      <c r="A22" s="114" t="s">
        <v>9</v>
      </c>
      <c r="B22" s="115" t="s">
        <v>170</v>
      </c>
      <c r="C22" s="113"/>
      <c r="D22" s="113"/>
      <c r="E22" s="111">
        <f t="shared" si="7"/>
        <v>0</v>
      </c>
      <c r="F22" s="111"/>
      <c r="G22" s="111"/>
      <c r="H22" s="111"/>
      <c r="I22" s="111"/>
      <c r="J22" s="111"/>
      <c r="K22" s="111"/>
      <c r="L22" s="111"/>
      <c r="M22" s="111"/>
      <c r="N22" s="111"/>
      <c r="O22" s="111">
        <f t="shared" si="6"/>
        <v>0</v>
      </c>
      <c r="P22" s="111">
        <f t="shared" si="6"/>
        <v>0</v>
      </c>
      <c r="Q22" s="111">
        <f>E22+H22+K22+N22</f>
        <v>0</v>
      </c>
    </row>
    <row r="23" spans="1:18" s="52" customFormat="1" ht="22.8" x14ac:dyDescent="0.3">
      <c r="A23" s="114">
        <v>3</v>
      </c>
      <c r="B23" s="112" t="s">
        <v>101</v>
      </c>
      <c r="C23" s="113"/>
      <c r="D23" s="113"/>
      <c r="E23" s="111">
        <f t="shared" si="7"/>
        <v>0</v>
      </c>
      <c r="F23" s="111">
        <f>F24</f>
        <v>0</v>
      </c>
      <c r="G23" s="111">
        <f t="shared" ref="G23:Q23" si="9">G24</f>
        <v>0</v>
      </c>
      <c r="H23" s="111">
        <f t="shared" si="9"/>
        <v>0</v>
      </c>
      <c r="I23" s="111">
        <f t="shared" si="9"/>
        <v>0</v>
      </c>
      <c r="J23" s="111">
        <f t="shared" si="9"/>
        <v>0</v>
      </c>
      <c r="K23" s="111">
        <f t="shared" si="9"/>
        <v>0</v>
      </c>
      <c r="L23" s="111">
        <f t="shared" si="9"/>
        <v>0</v>
      </c>
      <c r="M23" s="111">
        <f t="shared" si="9"/>
        <v>0</v>
      </c>
      <c r="N23" s="111">
        <f t="shared" si="9"/>
        <v>0</v>
      </c>
      <c r="O23" s="111">
        <f t="shared" si="6"/>
        <v>0</v>
      </c>
      <c r="P23" s="111">
        <f t="shared" si="6"/>
        <v>0</v>
      </c>
      <c r="Q23" s="111">
        <f t="shared" si="9"/>
        <v>0</v>
      </c>
    </row>
    <row r="24" spans="1:18" s="52" customFormat="1" x14ac:dyDescent="0.3">
      <c r="A24" s="114" t="s">
        <v>9</v>
      </c>
      <c r="B24" s="115" t="s">
        <v>170</v>
      </c>
      <c r="C24" s="113"/>
      <c r="D24" s="113"/>
      <c r="E24" s="111">
        <f t="shared" si="7"/>
        <v>0</v>
      </c>
      <c r="F24" s="111"/>
      <c r="G24" s="111"/>
      <c r="H24" s="111"/>
      <c r="I24" s="111"/>
      <c r="J24" s="111"/>
      <c r="K24" s="111"/>
      <c r="L24" s="111"/>
      <c r="M24" s="111"/>
      <c r="N24" s="111"/>
      <c r="O24" s="111">
        <f t="shared" si="6"/>
        <v>0</v>
      </c>
      <c r="P24" s="111">
        <f t="shared" si="6"/>
        <v>0</v>
      </c>
      <c r="Q24" s="111">
        <f>E24+H24+K24+N24</f>
        <v>0</v>
      </c>
    </row>
    <row r="25" spans="1:18" s="52" customFormat="1" ht="22.8" x14ac:dyDescent="0.3">
      <c r="A25" s="114">
        <v>4</v>
      </c>
      <c r="B25" s="112" t="s">
        <v>102</v>
      </c>
      <c r="C25" s="113"/>
      <c r="D25" s="113"/>
      <c r="E25" s="111">
        <f t="shared" si="7"/>
        <v>0</v>
      </c>
      <c r="F25" s="111">
        <f>SUM(F26:F29)</f>
        <v>144273000</v>
      </c>
      <c r="G25" s="111">
        <f t="shared" ref="G25:N25" si="10">SUM(G26:G29)</f>
        <v>16635000</v>
      </c>
      <c r="H25" s="111">
        <f t="shared" si="10"/>
        <v>127638000</v>
      </c>
      <c r="I25" s="111">
        <f t="shared" si="10"/>
        <v>131921000</v>
      </c>
      <c r="J25" s="111">
        <f t="shared" si="10"/>
        <v>22865000</v>
      </c>
      <c r="K25" s="111">
        <f t="shared" si="10"/>
        <v>109056000</v>
      </c>
      <c r="L25" s="111">
        <f t="shared" si="10"/>
        <v>124352000</v>
      </c>
      <c r="M25" s="111">
        <f t="shared" si="10"/>
        <v>42560000</v>
      </c>
      <c r="N25" s="111">
        <f t="shared" si="10"/>
        <v>81792000</v>
      </c>
      <c r="O25" s="111">
        <f>SUM(O26:O29)</f>
        <v>400546000</v>
      </c>
      <c r="P25" s="111">
        <f t="shared" ref="P25:Q25" si="11">SUM(P26:P29)</f>
        <v>82060000</v>
      </c>
      <c r="Q25" s="111">
        <f t="shared" si="11"/>
        <v>318486000</v>
      </c>
    </row>
    <row r="26" spans="1:18" s="52" customFormat="1" ht="23.4" customHeight="1" x14ac:dyDescent="0.3">
      <c r="A26" s="114" t="s">
        <v>9</v>
      </c>
      <c r="B26" s="118" t="s">
        <v>171</v>
      </c>
      <c r="C26" s="119"/>
      <c r="D26" s="119"/>
      <c r="E26" s="111">
        <f t="shared" si="7"/>
        <v>0</v>
      </c>
      <c r="F26" s="111">
        <v>116000000</v>
      </c>
      <c r="G26" s="111">
        <v>4915000</v>
      </c>
      <c r="H26" s="111">
        <f>F26-G26</f>
        <v>111085000</v>
      </c>
      <c r="I26" s="111">
        <v>79000000</v>
      </c>
      <c r="J26" s="111"/>
      <c r="K26" s="111">
        <f>I26-J26</f>
        <v>79000000</v>
      </c>
      <c r="L26" s="111"/>
      <c r="M26" s="111"/>
      <c r="N26" s="111">
        <f>L26-M26</f>
        <v>0</v>
      </c>
      <c r="O26" s="111">
        <f>C26+F26+I26+L26</f>
        <v>195000000</v>
      </c>
      <c r="P26" s="111">
        <f>D26+G26+J26+M26</f>
        <v>4915000</v>
      </c>
      <c r="Q26" s="111">
        <f>E26+H26+K26+N26</f>
        <v>190085000</v>
      </c>
    </row>
    <row r="27" spans="1:18" s="52" customFormat="1" ht="24" x14ac:dyDescent="0.3">
      <c r="A27" s="114" t="s">
        <v>9</v>
      </c>
      <c r="B27" s="118" t="s">
        <v>172</v>
      </c>
      <c r="C27" s="119"/>
      <c r="D27" s="119"/>
      <c r="E27" s="111">
        <f t="shared" si="7"/>
        <v>0</v>
      </c>
      <c r="F27" s="111">
        <v>25445700</v>
      </c>
      <c r="G27" s="111">
        <v>11720000</v>
      </c>
      <c r="H27" s="111">
        <f t="shared" ref="H27:H29" si="12">F27-G27</f>
        <v>13725700</v>
      </c>
      <c r="I27" s="111">
        <v>47628900</v>
      </c>
      <c r="J27" s="111">
        <v>22865000</v>
      </c>
      <c r="K27" s="111">
        <f t="shared" ref="K27:K29" si="13">I27-J27</f>
        <v>24763900</v>
      </c>
      <c r="L27" s="111">
        <v>110238048</v>
      </c>
      <c r="M27" s="111">
        <v>42560000</v>
      </c>
      <c r="N27" s="111">
        <f t="shared" ref="N27:N29" si="14">L27-M27</f>
        <v>67678048</v>
      </c>
      <c r="O27" s="111">
        <f t="shared" ref="O27:O29" si="15">C27+F27+I27+L27</f>
        <v>183312648</v>
      </c>
      <c r="P27" s="111">
        <f t="shared" ref="P27:P29" si="16">D27+G27+J27+M27</f>
        <v>77145000</v>
      </c>
      <c r="Q27" s="111">
        <f t="shared" ref="Q27:Q29" si="17">E27+H27+K27+N27</f>
        <v>106167648</v>
      </c>
    </row>
    <row r="28" spans="1:18" ht="19.8" customHeight="1" x14ac:dyDescent="0.3">
      <c r="A28" s="114" t="s">
        <v>9</v>
      </c>
      <c r="B28" s="118" t="s">
        <v>207</v>
      </c>
      <c r="C28" s="119"/>
      <c r="D28" s="119"/>
      <c r="E28" s="111">
        <f t="shared" si="7"/>
        <v>0</v>
      </c>
      <c r="F28" s="111">
        <f>144273000-141445700</f>
        <v>2827300</v>
      </c>
      <c r="G28" s="111"/>
      <c r="H28" s="111">
        <f t="shared" si="12"/>
        <v>2827300</v>
      </c>
      <c r="I28" s="111">
        <v>5292100</v>
      </c>
      <c r="J28" s="111"/>
      <c r="K28" s="111">
        <f t="shared" si="13"/>
        <v>5292100</v>
      </c>
      <c r="L28" s="111">
        <v>12435200</v>
      </c>
      <c r="M28" s="111"/>
      <c r="N28" s="111">
        <f t="shared" si="14"/>
        <v>12435200</v>
      </c>
      <c r="O28" s="111">
        <f t="shared" si="15"/>
        <v>20554600</v>
      </c>
      <c r="P28" s="111">
        <f t="shared" si="16"/>
        <v>0</v>
      </c>
      <c r="Q28" s="111">
        <f t="shared" si="17"/>
        <v>20554600</v>
      </c>
      <c r="R28" s="51">
        <f>P13-P14</f>
        <v>18079465975</v>
      </c>
    </row>
    <row r="29" spans="1:18" ht="22.8" customHeight="1" x14ac:dyDescent="0.3">
      <c r="A29" s="114" t="s">
        <v>9</v>
      </c>
      <c r="B29" s="120" t="s">
        <v>173</v>
      </c>
      <c r="C29" s="121"/>
      <c r="D29" s="121"/>
      <c r="E29" s="111">
        <f t="shared" si="7"/>
        <v>0</v>
      </c>
      <c r="F29" s="111"/>
      <c r="G29" s="111"/>
      <c r="H29" s="111">
        <f t="shared" si="12"/>
        <v>0</v>
      </c>
      <c r="I29" s="111"/>
      <c r="J29" s="111"/>
      <c r="K29" s="111">
        <f t="shared" si="13"/>
        <v>0</v>
      </c>
      <c r="L29" s="111">
        <v>1678752</v>
      </c>
      <c r="M29" s="111"/>
      <c r="N29" s="111">
        <f t="shared" si="14"/>
        <v>1678752</v>
      </c>
      <c r="O29" s="111">
        <f t="shared" si="15"/>
        <v>1678752</v>
      </c>
      <c r="P29" s="111">
        <f t="shared" si="16"/>
        <v>0</v>
      </c>
      <c r="Q29" s="111">
        <f t="shared" si="17"/>
        <v>1678752</v>
      </c>
      <c r="R29" s="51">
        <f>R28-P47-P48-P49-P50</f>
        <v>15008389475</v>
      </c>
    </row>
    <row r="30" spans="1:18" s="52" customFormat="1" ht="22.8" x14ac:dyDescent="0.3">
      <c r="A30" s="114">
        <v>5</v>
      </c>
      <c r="B30" s="112" t="s">
        <v>103</v>
      </c>
      <c r="C30" s="113"/>
      <c r="D30" s="113"/>
      <c r="E30" s="111">
        <f t="shared" si="7"/>
        <v>0</v>
      </c>
      <c r="F30" s="111">
        <f>SUM(F31:F34)</f>
        <v>39277000</v>
      </c>
      <c r="G30" s="111">
        <f t="shared" ref="G30:Q30" si="18">SUM(G31:G34)</f>
        <v>17890000</v>
      </c>
      <c r="H30" s="111">
        <f t="shared" si="18"/>
        <v>21387000</v>
      </c>
      <c r="I30" s="111">
        <f t="shared" si="18"/>
        <v>29517000</v>
      </c>
      <c r="J30" s="111">
        <f t="shared" si="18"/>
        <v>2400000</v>
      </c>
      <c r="K30" s="111">
        <f t="shared" si="18"/>
        <v>27117000</v>
      </c>
      <c r="L30" s="111">
        <f t="shared" si="18"/>
        <v>27823000</v>
      </c>
      <c r="M30" s="111">
        <f t="shared" si="18"/>
        <v>0</v>
      </c>
      <c r="N30" s="111">
        <f t="shared" si="18"/>
        <v>27823000</v>
      </c>
      <c r="O30" s="111">
        <f t="shared" si="18"/>
        <v>96617000</v>
      </c>
      <c r="P30" s="111">
        <f t="shared" si="18"/>
        <v>20290000</v>
      </c>
      <c r="Q30" s="111">
        <f t="shared" si="18"/>
        <v>76327000</v>
      </c>
      <c r="R30" s="52">
        <f>'Phụ biểu 01'!J107</f>
        <v>15021389475</v>
      </c>
    </row>
    <row r="31" spans="1:18" s="52" customFormat="1" ht="24" x14ac:dyDescent="0.3">
      <c r="A31" s="114" t="s">
        <v>9</v>
      </c>
      <c r="B31" s="118" t="s">
        <v>103</v>
      </c>
      <c r="C31" s="119"/>
      <c r="D31" s="119"/>
      <c r="E31" s="111">
        <f t="shared" si="7"/>
        <v>0</v>
      </c>
      <c r="F31" s="111">
        <v>35349300</v>
      </c>
      <c r="G31" s="111">
        <v>17890000</v>
      </c>
      <c r="H31" s="111">
        <f t="shared" ref="H31:H34" si="19">F31-G31</f>
        <v>17459300</v>
      </c>
      <c r="I31" s="111">
        <v>26565300</v>
      </c>
      <c r="J31" s="111">
        <v>2400000</v>
      </c>
      <c r="K31" s="111">
        <f t="shared" ref="K31:K34" si="20">I31-J31</f>
        <v>24165300</v>
      </c>
      <c r="L31" s="111">
        <v>24665090</v>
      </c>
      <c r="M31" s="111"/>
      <c r="N31" s="111">
        <f t="shared" ref="N31:N34" si="21">L31-M31</f>
        <v>24665090</v>
      </c>
      <c r="O31" s="111">
        <f t="shared" ref="O31:Q34" si="22">C31+F31+I31+L31</f>
        <v>86579690</v>
      </c>
      <c r="P31" s="111">
        <f t="shared" si="22"/>
        <v>20290000</v>
      </c>
      <c r="Q31" s="111">
        <f t="shared" si="22"/>
        <v>66289690</v>
      </c>
      <c r="R31" s="52">
        <f>R29-R30</f>
        <v>-13000000</v>
      </c>
    </row>
    <row r="32" spans="1:18" s="90" customFormat="1" ht="16.8" customHeight="1" x14ac:dyDescent="0.3">
      <c r="A32" s="114" t="s">
        <v>9</v>
      </c>
      <c r="B32" s="118" t="s">
        <v>206</v>
      </c>
      <c r="C32" s="119"/>
      <c r="D32" s="119"/>
      <c r="E32" s="111">
        <f t="shared" si="7"/>
        <v>0</v>
      </c>
      <c r="F32" s="111">
        <f>39277000-F31</f>
        <v>3927700</v>
      </c>
      <c r="G32" s="111"/>
      <c r="H32" s="111">
        <f t="shared" si="19"/>
        <v>3927700</v>
      </c>
      <c r="I32" s="111">
        <v>2951700</v>
      </c>
      <c r="J32" s="111"/>
      <c r="K32" s="111">
        <f t="shared" si="20"/>
        <v>2951700</v>
      </c>
      <c r="L32" s="111">
        <v>2782300</v>
      </c>
      <c r="M32" s="111"/>
      <c r="N32" s="111">
        <f t="shared" si="21"/>
        <v>2782300</v>
      </c>
      <c r="O32" s="111">
        <f t="shared" si="22"/>
        <v>9661700</v>
      </c>
      <c r="P32" s="111">
        <f t="shared" si="22"/>
        <v>0</v>
      </c>
      <c r="Q32" s="111">
        <f t="shared" si="22"/>
        <v>9661700</v>
      </c>
    </row>
    <row r="33" spans="1:18" s="90" customFormat="1" ht="16.2" customHeight="1" x14ac:dyDescent="0.3">
      <c r="A33" s="114" t="s">
        <v>9</v>
      </c>
      <c r="B33" s="118" t="s">
        <v>174</v>
      </c>
      <c r="C33" s="119"/>
      <c r="D33" s="119"/>
      <c r="E33" s="111">
        <f t="shared" si="7"/>
        <v>0</v>
      </c>
      <c r="F33" s="111"/>
      <c r="G33" s="111"/>
      <c r="H33" s="111">
        <f t="shared" si="19"/>
        <v>0</v>
      </c>
      <c r="I33" s="111"/>
      <c r="J33" s="111"/>
      <c r="K33" s="111">
        <f t="shared" si="20"/>
        <v>0</v>
      </c>
      <c r="L33" s="111"/>
      <c r="M33" s="111"/>
      <c r="N33" s="111">
        <f t="shared" si="21"/>
        <v>0</v>
      </c>
      <c r="O33" s="111">
        <f t="shared" si="22"/>
        <v>0</v>
      </c>
      <c r="P33" s="111">
        <f t="shared" si="22"/>
        <v>0</v>
      </c>
      <c r="Q33" s="111">
        <f t="shared" si="22"/>
        <v>0</v>
      </c>
    </row>
    <row r="34" spans="1:18" s="90" customFormat="1" ht="18.600000000000001" customHeight="1" x14ac:dyDescent="0.3">
      <c r="A34" s="114" t="s">
        <v>9</v>
      </c>
      <c r="B34" s="120" t="s">
        <v>173</v>
      </c>
      <c r="C34" s="121"/>
      <c r="D34" s="121"/>
      <c r="E34" s="111">
        <f t="shared" si="7"/>
        <v>0</v>
      </c>
      <c r="F34" s="111"/>
      <c r="G34" s="111"/>
      <c r="H34" s="111">
        <f t="shared" si="19"/>
        <v>0</v>
      </c>
      <c r="I34" s="111"/>
      <c r="J34" s="111"/>
      <c r="K34" s="111">
        <f t="shared" si="20"/>
        <v>0</v>
      </c>
      <c r="L34" s="111">
        <v>375610</v>
      </c>
      <c r="M34" s="111"/>
      <c r="N34" s="111">
        <f t="shared" si="21"/>
        <v>375610</v>
      </c>
      <c r="O34" s="111">
        <f t="shared" si="22"/>
        <v>375610</v>
      </c>
      <c r="P34" s="111">
        <f t="shared" si="22"/>
        <v>0</v>
      </c>
      <c r="Q34" s="111">
        <f t="shared" si="22"/>
        <v>375610</v>
      </c>
    </row>
    <row r="35" spans="1:18" s="52" customFormat="1" ht="27.6" customHeight="1" x14ac:dyDescent="0.3">
      <c r="A35" s="114">
        <v>6</v>
      </c>
      <c r="B35" s="112" t="s">
        <v>104</v>
      </c>
      <c r="C35" s="113"/>
      <c r="D35" s="113"/>
      <c r="E35" s="111">
        <f t="shared" si="7"/>
        <v>0</v>
      </c>
      <c r="F35" s="111">
        <f t="shared" ref="F35:Q35" si="23">SUM(F36:F39)</f>
        <v>65490000</v>
      </c>
      <c r="G35" s="111">
        <f t="shared" si="23"/>
        <v>40990000</v>
      </c>
      <c r="H35" s="111">
        <f t="shared" si="23"/>
        <v>24500000</v>
      </c>
      <c r="I35" s="111">
        <f t="shared" si="23"/>
        <v>45027000</v>
      </c>
      <c r="J35" s="111">
        <f t="shared" si="23"/>
        <v>12040000</v>
      </c>
      <c r="K35" s="111">
        <f t="shared" si="23"/>
        <v>32987000</v>
      </c>
      <c r="L35" s="111">
        <f t="shared" si="23"/>
        <v>43018000</v>
      </c>
      <c r="M35" s="111">
        <f t="shared" si="23"/>
        <v>29210000</v>
      </c>
      <c r="N35" s="111">
        <f t="shared" si="23"/>
        <v>13808000</v>
      </c>
      <c r="O35" s="111">
        <f t="shared" si="23"/>
        <v>153535000</v>
      </c>
      <c r="P35" s="111">
        <f t="shared" si="23"/>
        <v>82240000</v>
      </c>
      <c r="Q35" s="111">
        <f t="shared" si="23"/>
        <v>71295000</v>
      </c>
    </row>
    <row r="36" spans="1:18" s="52" customFormat="1" ht="15" customHeight="1" x14ac:dyDescent="0.3">
      <c r="A36" s="114" t="s">
        <v>9</v>
      </c>
      <c r="B36" s="118" t="s">
        <v>104</v>
      </c>
      <c r="C36" s="119"/>
      <c r="D36" s="119"/>
      <c r="E36" s="111">
        <f t="shared" si="7"/>
        <v>0</v>
      </c>
      <c r="F36" s="111">
        <v>49941000</v>
      </c>
      <c r="G36" s="111">
        <v>30990000</v>
      </c>
      <c r="H36" s="111">
        <f t="shared" ref="H36:H39" si="24">F36-G36</f>
        <v>18951000</v>
      </c>
      <c r="I36" s="111">
        <v>31524300</v>
      </c>
      <c r="J36" s="111">
        <v>12040000</v>
      </c>
      <c r="K36" s="111">
        <f t="shared" ref="K36:K39" si="25">I36-J36</f>
        <v>19484300</v>
      </c>
      <c r="L36" s="111">
        <v>29271227</v>
      </c>
      <c r="M36" s="111">
        <v>29210000</v>
      </c>
      <c r="N36" s="111">
        <f t="shared" ref="N36:N39" si="26">L36-M36</f>
        <v>61227</v>
      </c>
      <c r="O36" s="111">
        <f t="shared" ref="O36:Q39" si="27">C36+F36+I36+L36</f>
        <v>110736527</v>
      </c>
      <c r="P36" s="111">
        <f t="shared" si="27"/>
        <v>72240000</v>
      </c>
      <c r="Q36" s="111">
        <f t="shared" si="27"/>
        <v>38496527</v>
      </c>
    </row>
    <row r="37" spans="1:18" s="52" customFormat="1" ht="15" customHeight="1" x14ac:dyDescent="0.3">
      <c r="A37" s="114" t="s">
        <v>9</v>
      </c>
      <c r="B37" s="118" t="s">
        <v>207</v>
      </c>
      <c r="C37" s="119"/>
      <c r="D37" s="119"/>
      <c r="E37" s="111">
        <f t="shared" si="7"/>
        <v>0</v>
      </c>
      <c r="F37" s="111">
        <v>5549000</v>
      </c>
      <c r="G37" s="111"/>
      <c r="H37" s="111">
        <f t="shared" si="24"/>
        <v>5549000</v>
      </c>
      <c r="I37" s="111">
        <v>3502700</v>
      </c>
      <c r="J37" s="111"/>
      <c r="K37" s="111">
        <f t="shared" si="25"/>
        <v>3502700</v>
      </c>
      <c r="L37" s="111">
        <v>3301018</v>
      </c>
      <c r="M37" s="111"/>
      <c r="N37" s="111">
        <f t="shared" si="26"/>
        <v>3301018</v>
      </c>
      <c r="O37" s="111">
        <f t="shared" si="27"/>
        <v>12352718</v>
      </c>
      <c r="P37" s="111">
        <f t="shared" si="27"/>
        <v>0</v>
      </c>
      <c r="Q37" s="111">
        <f t="shared" si="27"/>
        <v>12352718</v>
      </c>
    </row>
    <row r="38" spans="1:18" s="52" customFormat="1" ht="15" customHeight="1" x14ac:dyDescent="0.3">
      <c r="A38" s="114" t="s">
        <v>9</v>
      </c>
      <c r="B38" s="120" t="s">
        <v>173</v>
      </c>
      <c r="C38" s="121"/>
      <c r="D38" s="121"/>
      <c r="E38" s="111">
        <f t="shared" si="7"/>
        <v>0</v>
      </c>
      <c r="F38" s="111"/>
      <c r="G38" s="111"/>
      <c r="H38" s="111">
        <f t="shared" si="24"/>
        <v>0</v>
      </c>
      <c r="I38" s="111"/>
      <c r="J38" s="111"/>
      <c r="K38" s="111">
        <f t="shared" si="25"/>
        <v>0</v>
      </c>
      <c r="L38" s="111">
        <v>445755</v>
      </c>
      <c r="M38" s="111"/>
      <c r="N38" s="111">
        <f t="shared" si="26"/>
        <v>445755</v>
      </c>
      <c r="O38" s="111">
        <f t="shared" si="27"/>
        <v>445755</v>
      </c>
      <c r="P38" s="111">
        <f t="shared" si="27"/>
        <v>0</v>
      </c>
      <c r="Q38" s="111">
        <f t="shared" si="27"/>
        <v>445755</v>
      </c>
    </row>
    <row r="39" spans="1:18" s="52" customFormat="1" ht="15" customHeight="1" x14ac:dyDescent="0.3">
      <c r="A39" s="114" t="s">
        <v>9</v>
      </c>
      <c r="B39" s="115" t="s">
        <v>175</v>
      </c>
      <c r="C39" s="113"/>
      <c r="D39" s="113"/>
      <c r="E39" s="111">
        <f t="shared" si="7"/>
        <v>0</v>
      </c>
      <c r="F39" s="111">
        <v>10000000</v>
      </c>
      <c r="G39" s="111">
        <v>10000000</v>
      </c>
      <c r="H39" s="111">
        <f t="shared" si="24"/>
        <v>0</v>
      </c>
      <c r="I39" s="111">
        <v>10000000</v>
      </c>
      <c r="J39" s="111"/>
      <c r="K39" s="111">
        <f t="shared" si="25"/>
        <v>10000000</v>
      </c>
      <c r="L39" s="111">
        <v>10000000</v>
      </c>
      <c r="M39" s="111">
        <v>0</v>
      </c>
      <c r="N39" s="111">
        <f t="shared" si="26"/>
        <v>10000000</v>
      </c>
      <c r="O39" s="111">
        <f t="shared" si="27"/>
        <v>30000000</v>
      </c>
      <c r="P39" s="111">
        <f t="shared" si="27"/>
        <v>10000000</v>
      </c>
      <c r="Q39" s="111">
        <f t="shared" si="27"/>
        <v>20000000</v>
      </c>
    </row>
    <row r="40" spans="1:18" s="52" customFormat="1" ht="25.2" customHeight="1" x14ac:dyDescent="0.3">
      <c r="A40" s="114">
        <v>7</v>
      </c>
      <c r="B40" s="112" t="s">
        <v>106</v>
      </c>
      <c r="C40" s="111">
        <f>SUM(C41:C50)</f>
        <v>6268763495</v>
      </c>
      <c r="D40" s="111">
        <f t="shared" ref="D40:Q40" si="28">SUM(D41:D50)</f>
        <v>3058076500</v>
      </c>
      <c r="E40" s="111">
        <f t="shared" si="28"/>
        <v>3210686995</v>
      </c>
      <c r="F40" s="111">
        <f t="shared" si="28"/>
        <v>213635000</v>
      </c>
      <c r="G40" s="111">
        <f t="shared" si="28"/>
        <v>127910000</v>
      </c>
      <c r="H40" s="111">
        <f t="shared" si="28"/>
        <v>85725000</v>
      </c>
      <c r="I40" s="111">
        <f t="shared" si="28"/>
        <v>80349000</v>
      </c>
      <c r="J40" s="111">
        <f t="shared" si="28"/>
        <v>47495000</v>
      </c>
      <c r="K40" s="111">
        <f t="shared" si="28"/>
        <v>32854000</v>
      </c>
      <c r="L40" s="111">
        <f t="shared" si="28"/>
        <v>100849000</v>
      </c>
      <c r="M40" s="111">
        <f t="shared" si="28"/>
        <v>88507563</v>
      </c>
      <c r="N40" s="111">
        <f t="shared" si="28"/>
        <v>12341437</v>
      </c>
      <c r="O40" s="111">
        <f t="shared" si="28"/>
        <v>6663596495</v>
      </c>
      <c r="P40" s="111">
        <f t="shared" si="28"/>
        <v>3321989063</v>
      </c>
      <c r="Q40" s="111">
        <f t="shared" si="28"/>
        <v>3341607432</v>
      </c>
    </row>
    <row r="41" spans="1:18" s="52" customFormat="1" ht="15" customHeight="1" x14ac:dyDescent="0.3">
      <c r="A41" s="114" t="s">
        <v>9</v>
      </c>
      <c r="B41" s="115" t="s">
        <v>106</v>
      </c>
      <c r="C41" s="113"/>
      <c r="D41" s="113"/>
      <c r="E41" s="111">
        <f t="shared" si="7"/>
        <v>0</v>
      </c>
      <c r="F41" s="111">
        <v>12712500</v>
      </c>
      <c r="G41" s="111">
        <v>4200000</v>
      </c>
      <c r="H41" s="111">
        <f t="shared" ref="H41:H50" si="29">F41-G41</f>
        <v>8512500</v>
      </c>
      <c r="I41" s="111">
        <v>24155100</v>
      </c>
      <c r="J41" s="111">
        <v>2495000</v>
      </c>
      <c r="K41" s="111">
        <f t="shared" ref="K41:K46" si="30">I41-J41</f>
        <v>21660100</v>
      </c>
      <c r="L41" s="111">
        <v>20157563</v>
      </c>
      <c r="M41" s="111">
        <f>L41</f>
        <v>20157563</v>
      </c>
      <c r="N41" s="111">
        <f t="shared" ref="N41:N46" si="31">L41-M41</f>
        <v>0</v>
      </c>
      <c r="O41" s="111">
        <f>C41+F41+I41+L41</f>
        <v>57025163</v>
      </c>
      <c r="P41" s="111">
        <f t="shared" ref="O41:Q50" si="32">D41+G41+J41+M41</f>
        <v>26852563</v>
      </c>
      <c r="Q41" s="111">
        <f t="shared" si="32"/>
        <v>30172600</v>
      </c>
    </row>
    <row r="42" spans="1:18" s="52" customFormat="1" ht="15" customHeight="1" x14ac:dyDescent="0.3">
      <c r="A42" s="114" t="s">
        <v>9</v>
      </c>
      <c r="B42" s="118" t="s">
        <v>206</v>
      </c>
      <c r="C42" s="119"/>
      <c r="D42" s="119"/>
      <c r="E42" s="111">
        <f t="shared" si="7"/>
        <v>0</v>
      </c>
      <c r="F42" s="111">
        <v>1412500</v>
      </c>
      <c r="G42" s="111"/>
      <c r="H42" s="111">
        <f t="shared" si="29"/>
        <v>1412500</v>
      </c>
      <c r="I42" s="111">
        <v>2683900</v>
      </c>
      <c r="J42" s="111"/>
      <c r="K42" s="111">
        <f t="shared" si="30"/>
        <v>2683900</v>
      </c>
      <c r="L42" s="111">
        <v>4529900</v>
      </c>
      <c r="M42" s="111"/>
      <c r="N42" s="111">
        <f t="shared" si="31"/>
        <v>4529900</v>
      </c>
      <c r="O42" s="111">
        <f t="shared" si="32"/>
        <v>8626300</v>
      </c>
      <c r="P42" s="111">
        <f t="shared" si="32"/>
        <v>0</v>
      </c>
      <c r="Q42" s="111">
        <f t="shared" si="32"/>
        <v>8626300</v>
      </c>
    </row>
    <row r="43" spans="1:18" s="52" customFormat="1" ht="15" customHeight="1" x14ac:dyDescent="0.3">
      <c r="A43" s="114" t="s">
        <v>9</v>
      </c>
      <c r="B43" s="120" t="s">
        <v>173</v>
      </c>
      <c r="C43" s="121"/>
      <c r="D43" s="121"/>
      <c r="E43" s="111">
        <f t="shared" si="7"/>
        <v>0</v>
      </c>
      <c r="F43" s="111"/>
      <c r="G43" s="111"/>
      <c r="H43" s="111">
        <f t="shared" si="29"/>
        <v>0</v>
      </c>
      <c r="I43" s="111"/>
      <c r="J43" s="111"/>
      <c r="K43" s="111">
        <f t="shared" si="30"/>
        <v>0</v>
      </c>
      <c r="L43" s="111">
        <v>611537</v>
      </c>
      <c r="M43" s="111"/>
      <c r="N43" s="111">
        <f t="shared" si="31"/>
        <v>611537</v>
      </c>
      <c r="O43" s="111">
        <f t="shared" si="32"/>
        <v>611537</v>
      </c>
      <c r="P43" s="111">
        <f t="shared" si="32"/>
        <v>0</v>
      </c>
      <c r="Q43" s="111">
        <f t="shared" si="32"/>
        <v>611537</v>
      </c>
    </row>
    <row r="44" spans="1:18" s="52" customFormat="1" ht="15" customHeight="1" x14ac:dyDescent="0.3">
      <c r="A44" s="114" t="s">
        <v>9</v>
      </c>
      <c r="B44" s="118" t="s">
        <v>174</v>
      </c>
      <c r="C44" s="119"/>
      <c r="D44" s="119"/>
      <c r="E44" s="111">
        <f t="shared" si="7"/>
        <v>0</v>
      </c>
      <c r="F44" s="111"/>
      <c r="G44" s="111"/>
      <c r="H44" s="111">
        <f t="shared" si="29"/>
        <v>0</v>
      </c>
      <c r="I44" s="111"/>
      <c r="J44" s="111"/>
      <c r="K44" s="111">
        <f t="shared" si="30"/>
        <v>0</v>
      </c>
      <c r="L44" s="111"/>
      <c r="M44" s="111"/>
      <c r="N44" s="111">
        <f t="shared" si="31"/>
        <v>0</v>
      </c>
      <c r="O44" s="111">
        <f t="shared" si="32"/>
        <v>0</v>
      </c>
      <c r="P44" s="111">
        <f t="shared" si="32"/>
        <v>0</v>
      </c>
      <c r="Q44" s="111">
        <f t="shared" si="32"/>
        <v>0</v>
      </c>
    </row>
    <row r="45" spans="1:18" s="52" customFormat="1" ht="24" x14ac:dyDescent="0.25">
      <c r="A45" s="114" t="s">
        <v>9</v>
      </c>
      <c r="B45" s="122" t="s">
        <v>176</v>
      </c>
      <c r="C45" s="123"/>
      <c r="D45" s="123"/>
      <c r="E45" s="111">
        <f t="shared" si="7"/>
        <v>0</v>
      </c>
      <c r="F45" s="111">
        <v>110710000</v>
      </c>
      <c r="G45" s="111">
        <v>110710000</v>
      </c>
      <c r="H45" s="111">
        <f t="shared" si="29"/>
        <v>0</v>
      </c>
      <c r="I45" s="111">
        <v>47510000</v>
      </c>
      <c r="J45" s="111">
        <v>45000000</v>
      </c>
      <c r="K45" s="111">
        <f t="shared" si="30"/>
        <v>2510000</v>
      </c>
      <c r="L45" s="111">
        <v>68350000</v>
      </c>
      <c r="M45" s="111">
        <v>68350000</v>
      </c>
      <c r="N45" s="111">
        <f t="shared" si="31"/>
        <v>0</v>
      </c>
      <c r="O45" s="111">
        <f t="shared" si="32"/>
        <v>226570000</v>
      </c>
      <c r="P45" s="111">
        <f t="shared" si="32"/>
        <v>224060000</v>
      </c>
      <c r="Q45" s="111">
        <f t="shared" si="32"/>
        <v>2510000</v>
      </c>
    </row>
    <row r="46" spans="1:18" s="52" customFormat="1" ht="36" x14ac:dyDescent="0.25">
      <c r="A46" s="114" t="s">
        <v>9</v>
      </c>
      <c r="B46" s="122" t="s">
        <v>177</v>
      </c>
      <c r="C46" s="123"/>
      <c r="D46" s="123"/>
      <c r="E46" s="111">
        <f t="shared" si="7"/>
        <v>0</v>
      </c>
      <c r="F46" s="111">
        <v>10800000</v>
      </c>
      <c r="G46" s="111">
        <v>0</v>
      </c>
      <c r="H46" s="111">
        <f t="shared" si="29"/>
        <v>10800000</v>
      </c>
      <c r="I46" s="111">
        <v>6000000</v>
      </c>
      <c r="J46" s="111"/>
      <c r="K46" s="111">
        <f t="shared" si="30"/>
        <v>6000000</v>
      </c>
      <c r="L46" s="111">
        <v>7200000</v>
      </c>
      <c r="M46" s="111">
        <v>0</v>
      </c>
      <c r="N46" s="111">
        <f t="shared" si="31"/>
        <v>7200000</v>
      </c>
      <c r="O46" s="111">
        <f t="shared" si="32"/>
        <v>24000000</v>
      </c>
      <c r="P46" s="111">
        <f t="shared" si="32"/>
        <v>0</v>
      </c>
      <c r="Q46" s="111">
        <f t="shared" si="32"/>
        <v>24000000</v>
      </c>
    </row>
    <row r="47" spans="1:18" s="52" customFormat="1" ht="24" x14ac:dyDescent="0.25">
      <c r="A47" s="114" t="s">
        <v>9</v>
      </c>
      <c r="B47" s="122" t="s">
        <v>178</v>
      </c>
      <c r="C47" s="111">
        <v>5655760000</v>
      </c>
      <c r="D47" s="111">
        <v>2823630000</v>
      </c>
      <c r="E47" s="111">
        <f>C47-D47</f>
        <v>2832130000</v>
      </c>
      <c r="F47" s="111"/>
      <c r="G47" s="111"/>
      <c r="H47" s="111">
        <f t="shared" si="29"/>
        <v>0</v>
      </c>
      <c r="I47" s="111"/>
      <c r="J47" s="111"/>
      <c r="K47" s="111"/>
      <c r="L47" s="111"/>
      <c r="M47" s="111"/>
      <c r="N47" s="111"/>
      <c r="O47" s="111">
        <f t="shared" si="32"/>
        <v>5655760000</v>
      </c>
      <c r="P47" s="111">
        <f t="shared" si="32"/>
        <v>2823630000</v>
      </c>
      <c r="Q47" s="111">
        <f t="shared" si="32"/>
        <v>2832130000</v>
      </c>
      <c r="R47" s="52">
        <f>O40-O47-O48-O49</f>
        <v>394833000</v>
      </c>
    </row>
    <row r="48" spans="1:18" s="52" customFormat="1" ht="24" x14ac:dyDescent="0.25">
      <c r="A48" s="114" t="s">
        <v>9</v>
      </c>
      <c r="B48" s="122" t="s">
        <v>179</v>
      </c>
      <c r="C48" s="111">
        <v>571235495</v>
      </c>
      <c r="D48" s="111">
        <v>213562500</v>
      </c>
      <c r="E48" s="111">
        <f t="shared" ref="E48:E49" si="33">C48-D48</f>
        <v>357672995</v>
      </c>
      <c r="F48" s="111"/>
      <c r="G48" s="111"/>
      <c r="H48" s="111">
        <f t="shared" si="29"/>
        <v>0</v>
      </c>
      <c r="I48" s="111"/>
      <c r="J48" s="111"/>
      <c r="K48" s="111"/>
      <c r="L48" s="111"/>
      <c r="M48" s="111"/>
      <c r="N48" s="111"/>
      <c r="O48" s="111">
        <f t="shared" si="32"/>
        <v>571235495</v>
      </c>
      <c r="P48" s="111">
        <f t="shared" si="32"/>
        <v>213562500</v>
      </c>
      <c r="Q48" s="111">
        <f t="shared" si="32"/>
        <v>357672995</v>
      </c>
      <c r="R48" s="52">
        <f>P40-R47</f>
        <v>2927156063</v>
      </c>
    </row>
    <row r="49" spans="1:18" s="52" customFormat="1" ht="48" x14ac:dyDescent="0.25">
      <c r="A49" s="114" t="s">
        <v>9</v>
      </c>
      <c r="B49" s="122" t="s">
        <v>180</v>
      </c>
      <c r="C49" s="111">
        <v>41768000</v>
      </c>
      <c r="D49" s="111">
        <v>20884000</v>
      </c>
      <c r="E49" s="111">
        <f t="shared" si="33"/>
        <v>20884000</v>
      </c>
      <c r="F49" s="111"/>
      <c r="G49" s="111"/>
      <c r="H49" s="111">
        <f t="shared" si="29"/>
        <v>0</v>
      </c>
      <c r="I49" s="111"/>
      <c r="J49" s="111"/>
      <c r="K49" s="111"/>
      <c r="L49" s="111"/>
      <c r="M49" s="111"/>
      <c r="N49" s="111"/>
      <c r="O49" s="111">
        <f t="shared" si="32"/>
        <v>41768000</v>
      </c>
      <c r="P49" s="111">
        <f t="shared" si="32"/>
        <v>20884000</v>
      </c>
      <c r="Q49" s="111">
        <f t="shared" si="32"/>
        <v>20884000</v>
      </c>
      <c r="R49" s="52">
        <f>O40-O47-O48-O49</f>
        <v>394833000</v>
      </c>
    </row>
    <row r="50" spans="1:18" s="52" customFormat="1" ht="48" x14ac:dyDescent="0.25">
      <c r="A50" s="114"/>
      <c r="B50" s="122" t="s">
        <v>74</v>
      </c>
      <c r="C50" s="111"/>
      <c r="D50" s="111"/>
      <c r="E50" s="111"/>
      <c r="F50" s="111">
        <v>78000000</v>
      </c>
      <c r="G50" s="111">
        <v>13000000</v>
      </c>
      <c r="H50" s="111">
        <f t="shared" si="29"/>
        <v>65000000</v>
      </c>
      <c r="I50" s="111"/>
      <c r="J50" s="111"/>
      <c r="K50" s="111"/>
      <c r="L50" s="111"/>
      <c r="M50" s="111"/>
      <c r="N50" s="111"/>
      <c r="O50" s="111">
        <f t="shared" si="32"/>
        <v>78000000</v>
      </c>
      <c r="P50" s="111">
        <f t="shared" si="32"/>
        <v>13000000</v>
      </c>
      <c r="Q50" s="111">
        <f t="shared" si="32"/>
        <v>65000000</v>
      </c>
    </row>
    <row r="51" spans="1:18" s="52" customFormat="1" ht="25.05" customHeight="1" x14ac:dyDescent="0.3">
      <c r="A51" s="114">
        <v>8</v>
      </c>
      <c r="B51" s="112" t="s">
        <v>107</v>
      </c>
      <c r="C51" s="113"/>
      <c r="D51" s="113"/>
      <c r="E51" s="111">
        <f t="shared" si="7"/>
        <v>0</v>
      </c>
      <c r="F51" s="111">
        <f t="shared" ref="F51:Q51" si="34">SUM(F52:F58)</f>
        <v>2126821000</v>
      </c>
      <c r="G51" s="111">
        <f t="shared" si="34"/>
        <v>1871373000</v>
      </c>
      <c r="H51" s="111">
        <f t="shared" si="34"/>
        <v>255448000</v>
      </c>
      <c r="I51" s="111">
        <f t="shared" si="34"/>
        <v>567244000</v>
      </c>
      <c r="J51" s="111">
        <f t="shared" si="34"/>
        <v>399244000</v>
      </c>
      <c r="K51" s="111">
        <f t="shared" si="34"/>
        <v>168000000</v>
      </c>
      <c r="L51" s="111">
        <f t="shared" si="34"/>
        <v>562747000</v>
      </c>
      <c r="M51" s="111">
        <f t="shared" si="34"/>
        <v>346330550</v>
      </c>
      <c r="N51" s="111">
        <f t="shared" si="34"/>
        <v>216416450</v>
      </c>
      <c r="O51" s="111">
        <f t="shared" si="34"/>
        <v>3256812000</v>
      </c>
      <c r="P51" s="111">
        <f t="shared" si="34"/>
        <v>2616947550</v>
      </c>
      <c r="Q51" s="111">
        <f t="shared" si="34"/>
        <v>639864450</v>
      </c>
    </row>
    <row r="52" spans="1:18" s="52" customFormat="1" ht="25.05" customHeight="1" x14ac:dyDescent="0.3">
      <c r="A52" s="114" t="s">
        <v>9</v>
      </c>
      <c r="B52" s="115" t="s">
        <v>107</v>
      </c>
      <c r="C52" s="113"/>
      <c r="D52" s="113"/>
      <c r="E52" s="111">
        <f t="shared" si="7"/>
        <v>0</v>
      </c>
      <c r="F52" s="111">
        <v>1904940300</v>
      </c>
      <c r="G52" s="111">
        <f>205873000+802716000+803084000+28700000+4000000-21000000</f>
        <v>1823373000</v>
      </c>
      <c r="H52" s="111">
        <f t="shared" ref="H52:H58" si="35">F52-G52</f>
        <v>81567300</v>
      </c>
      <c r="I52" s="111">
        <v>360255600</v>
      </c>
      <c r="J52" s="111">
        <v>353244000</v>
      </c>
      <c r="K52" s="111">
        <f t="shared" ref="K52:K58" si="36">I52-J52</f>
        <v>7011600</v>
      </c>
      <c r="L52" s="111">
        <v>161341520</v>
      </c>
      <c r="M52" s="111">
        <v>78350550</v>
      </c>
      <c r="N52" s="111">
        <f t="shared" ref="N52:N58" si="37">L52-M52</f>
        <v>82990970</v>
      </c>
      <c r="O52" s="111">
        <f t="shared" ref="O52:Q58" si="38">C52+F52+I52+L52</f>
        <v>2426537420</v>
      </c>
      <c r="P52" s="111">
        <f t="shared" si="38"/>
        <v>2254967550</v>
      </c>
      <c r="Q52" s="111">
        <f t="shared" si="38"/>
        <v>171569870</v>
      </c>
    </row>
    <row r="53" spans="1:18" s="90" customFormat="1" ht="25.05" customHeight="1" x14ac:dyDescent="0.3">
      <c r="A53" s="114" t="s">
        <v>9</v>
      </c>
      <c r="B53" s="118" t="s">
        <v>206</v>
      </c>
      <c r="C53" s="119"/>
      <c r="D53" s="119"/>
      <c r="E53" s="111">
        <f t="shared" si="7"/>
        <v>0</v>
      </c>
      <c r="F53" s="111">
        <v>37326700</v>
      </c>
      <c r="G53" s="111"/>
      <c r="H53" s="111">
        <f t="shared" si="35"/>
        <v>37326700</v>
      </c>
      <c r="I53" s="111">
        <v>40028400</v>
      </c>
      <c r="J53" s="111"/>
      <c r="K53" s="111">
        <f t="shared" si="36"/>
        <v>40028400</v>
      </c>
      <c r="L53" s="111">
        <v>37731700</v>
      </c>
      <c r="M53" s="111"/>
      <c r="N53" s="111">
        <f t="shared" si="37"/>
        <v>37731700</v>
      </c>
      <c r="O53" s="111">
        <f t="shared" si="38"/>
        <v>115086800</v>
      </c>
      <c r="P53" s="111">
        <f t="shared" si="38"/>
        <v>0</v>
      </c>
      <c r="Q53" s="111">
        <f t="shared" si="38"/>
        <v>115086800</v>
      </c>
    </row>
    <row r="54" spans="1:18" s="90" customFormat="1" ht="25.05" customHeight="1" x14ac:dyDescent="0.3">
      <c r="A54" s="114" t="s">
        <v>9</v>
      </c>
      <c r="B54" s="120" t="s">
        <v>173</v>
      </c>
      <c r="C54" s="121"/>
      <c r="D54" s="121"/>
      <c r="E54" s="111">
        <f t="shared" si="7"/>
        <v>0</v>
      </c>
      <c r="F54" s="111"/>
      <c r="G54" s="111"/>
      <c r="H54" s="111">
        <f t="shared" si="35"/>
        <v>0</v>
      </c>
      <c r="I54" s="111"/>
      <c r="J54" s="111"/>
      <c r="K54" s="111">
        <f t="shared" si="36"/>
        <v>0</v>
      </c>
      <c r="L54" s="111">
        <v>5093780</v>
      </c>
      <c r="M54" s="111"/>
      <c r="N54" s="111">
        <f t="shared" si="37"/>
        <v>5093780</v>
      </c>
      <c r="O54" s="111">
        <f t="shared" si="38"/>
        <v>5093780</v>
      </c>
      <c r="P54" s="111">
        <f t="shared" si="38"/>
        <v>0</v>
      </c>
      <c r="Q54" s="111">
        <f t="shared" si="38"/>
        <v>5093780</v>
      </c>
    </row>
    <row r="55" spans="1:18" s="90" customFormat="1" ht="25.05" customHeight="1" x14ac:dyDescent="0.3">
      <c r="A55" s="114" t="s">
        <v>9</v>
      </c>
      <c r="B55" s="118" t="s">
        <v>174</v>
      </c>
      <c r="C55" s="119"/>
      <c r="D55" s="119"/>
      <c r="E55" s="111">
        <f t="shared" si="7"/>
        <v>0</v>
      </c>
      <c r="F55" s="111"/>
      <c r="G55" s="111"/>
      <c r="H55" s="111">
        <f t="shared" si="35"/>
        <v>0</v>
      </c>
      <c r="I55" s="111"/>
      <c r="J55" s="111"/>
      <c r="K55" s="111">
        <f t="shared" si="36"/>
        <v>0</v>
      </c>
      <c r="L55" s="111"/>
      <c r="M55" s="111"/>
      <c r="N55" s="111">
        <f t="shared" si="37"/>
        <v>0</v>
      </c>
      <c r="O55" s="111">
        <f t="shared" si="38"/>
        <v>0</v>
      </c>
      <c r="P55" s="111">
        <f t="shared" si="38"/>
        <v>0</v>
      </c>
      <c r="Q55" s="111">
        <f t="shared" si="38"/>
        <v>0</v>
      </c>
    </row>
    <row r="56" spans="1:18" s="52" customFormat="1" ht="39.6" customHeight="1" x14ac:dyDescent="0.25">
      <c r="A56" s="114" t="s">
        <v>9</v>
      </c>
      <c r="B56" s="122" t="s">
        <v>334</v>
      </c>
      <c r="C56" s="123"/>
      <c r="D56" s="123"/>
      <c r="E56" s="111">
        <f t="shared" si="7"/>
        <v>0</v>
      </c>
      <c r="F56" s="111">
        <v>12554000</v>
      </c>
      <c r="G56" s="111">
        <v>6000000</v>
      </c>
      <c r="H56" s="111">
        <f t="shared" si="35"/>
        <v>6554000</v>
      </c>
      <c r="I56" s="111">
        <v>12000000</v>
      </c>
      <c r="J56" s="111">
        <v>6000000</v>
      </c>
      <c r="K56" s="111">
        <f t="shared" si="36"/>
        <v>6000000</v>
      </c>
      <c r="L56" s="111">
        <v>12000000</v>
      </c>
      <c r="M56" s="111">
        <v>5000000</v>
      </c>
      <c r="N56" s="111">
        <f t="shared" si="37"/>
        <v>7000000</v>
      </c>
      <c r="O56" s="111">
        <f t="shared" si="38"/>
        <v>36554000</v>
      </c>
      <c r="P56" s="111">
        <f t="shared" si="38"/>
        <v>17000000</v>
      </c>
      <c r="Q56" s="111">
        <f t="shared" si="38"/>
        <v>19554000</v>
      </c>
    </row>
    <row r="57" spans="1:18" s="52" customFormat="1" ht="31.8" customHeight="1" x14ac:dyDescent="0.3">
      <c r="A57" s="114" t="s">
        <v>9</v>
      </c>
      <c r="B57" s="115" t="s">
        <v>182</v>
      </c>
      <c r="C57" s="113"/>
      <c r="D57" s="113"/>
      <c r="E57" s="111">
        <f t="shared" si="7"/>
        <v>0</v>
      </c>
      <c r="F57" s="111">
        <v>130000000</v>
      </c>
      <c r="G57" s="111"/>
      <c r="H57" s="111">
        <f t="shared" si="35"/>
        <v>130000000</v>
      </c>
      <c r="I57" s="111">
        <v>114960000</v>
      </c>
      <c r="J57" s="111"/>
      <c r="K57" s="111">
        <f t="shared" si="36"/>
        <v>114960000</v>
      </c>
      <c r="L57" s="111">
        <f>73430000+93150000</f>
        <v>166580000</v>
      </c>
      <c r="M57" s="111">
        <v>100000000</v>
      </c>
      <c r="N57" s="111">
        <f t="shared" si="37"/>
        <v>66580000</v>
      </c>
      <c r="O57" s="111">
        <f t="shared" si="38"/>
        <v>411540000</v>
      </c>
      <c r="P57" s="111">
        <f t="shared" si="38"/>
        <v>100000000</v>
      </c>
      <c r="Q57" s="111">
        <f t="shared" si="38"/>
        <v>311540000</v>
      </c>
    </row>
    <row r="58" spans="1:18" s="52" customFormat="1" ht="33" customHeight="1" x14ac:dyDescent="0.3">
      <c r="A58" s="114" t="s">
        <v>9</v>
      </c>
      <c r="B58" s="124" t="s">
        <v>183</v>
      </c>
      <c r="C58" s="125"/>
      <c r="D58" s="125"/>
      <c r="E58" s="111">
        <f t="shared" si="7"/>
        <v>0</v>
      </c>
      <c r="F58" s="111">
        <v>42000000</v>
      </c>
      <c r="G58" s="111">
        <v>42000000</v>
      </c>
      <c r="H58" s="111">
        <f t="shared" si="35"/>
        <v>0</v>
      </c>
      <c r="I58" s="111">
        <v>40000000</v>
      </c>
      <c r="J58" s="111">
        <v>40000000</v>
      </c>
      <c r="K58" s="111">
        <f t="shared" si="36"/>
        <v>0</v>
      </c>
      <c r="L58" s="111">
        <v>180000000</v>
      </c>
      <c r="M58" s="111">
        <v>162980000</v>
      </c>
      <c r="N58" s="111">
        <f t="shared" si="37"/>
        <v>17020000</v>
      </c>
      <c r="O58" s="111">
        <f t="shared" si="38"/>
        <v>262000000</v>
      </c>
      <c r="P58" s="111">
        <f t="shared" si="38"/>
        <v>244980000</v>
      </c>
      <c r="Q58" s="111">
        <f t="shared" si="38"/>
        <v>17020000</v>
      </c>
    </row>
    <row r="59" spans="1:18" s="52" customFormat="1" ht="25.05" customHeight="1" x14ac:dyDescent="0.3">
      <c r="A59" s="114">
        <v>9</v>
      </c>
      <c r="B59" s="112" t="s">
        <v>108</v>
      </c>
      <c r="C59" s="113"/>
      <c r="D59" s="113"/>
      <c r="E59" s="111">
        <f t="shared" si="7"/>
        <v>0</v>
      </c>
      <c r="F59" s="111">
        <f>SUM(F60:F63)</f>
        <v>90801000</v>
      </c>
      <c r="G59" s="111">
        <f t="shared" ref="G59:Q59" si="39">SUM(G60:G63)</f>
        <v>48238000</v>
      </c>
      <c r="H59" s="111">
        <f t="shared" si="39"/>
        <v>42563000</v>
      </c>
      <c r="I59" s="111">
        <f t="shared" si="39"/>
        <v>36392000</v>
      </c>
      <c r="J59" s="111">
        <f t="shared" si="39"/>
        <v>798000</v>
      </c>
      <c r="K59" s="111">
        <f t="shared" si="39"/>
        <v>35594000</v>
      </c>
      <c r="L59" s="111">
        <f t="shared" si="39"/>
        <v>34304000</v>
      </c>
      <c r="M59" s="111">
        <f t="shared" si="39"/>
        <v>26790000</v>
      </c>
      <c r="N59" s="111">
        <f t="shared" si="39"/>
        <v>7514000</v>
      </c>
      <c r="O59" s="111">
        <f t="shared" si="39"/>
        <v>161497000</v>
      </c>
      <c r="P59" s="111">
        <f t="shared" si="39"/>
        <v>75826000</v>
      </c>
      <c r="Q59" s="111">
        <f t="shared" si="39"/>
        <v>85671000</v>
      </c>
    </row>
    <row r="60" spans="1:18" s="91" customFormat="1" ht="25.05" customHeight="1" x14ac:dyDescent="0.3">
      <c r="A60" s="126" t="s">
        <v>9</v>
      </c>
      <c r="B60" s="115" t="s">
        <v>108</v>
      </c>
      <c r="C60" s="113"/>
      <c r="D60" s="113"/>
      <c r="E60" s="111">
        <f t="shared" si="7"/>
        <v>0</v>
      </c>
      <c r="F60" s="111">
        <v>81720900</v>
      </c>
      <c r="G60" s="111">
        <v>48238000</v>
      </c>
      <c r="H60" s="111">
        <f t="shared" ref="H60:H63" si="40">F60-G60</f>
        <v>33482900</v>
      </c>
      <c r="I60" s="111">
        <v>32752800</v>
      </c>
      <c r="J60" s="111">
        <v>798000</v>
      </c>
      <c r="K60" s="111">
        <f t="shared" ref="K60:K63" si="41">I60-J60</f>
        <v>31954800</v>
      </c>
      <c r="L60" s="111">
        <v>30410496</v>
      </c>
      <c r="M60" s="111">
        <v>26790000</v>
      </c>
      <c r="N60" s="111">
        <f t="shared" ref="N60:N63" si="42">L60-M60</f>
        <v>3620496</v>
      </c>
      <c r="O60" s="111">
        <f t="shared" ref="O60:Q63" si="43">C60+F60+I60+L60</f>
        <v>144884196</v>
      </c>
      <c r="P60" s="111">
        <f t="shared" si="43"/>
        <v>75826000</v>
      </c>
      <c r="Q60" s="111">
        <f t="shared" si="43"/>
        <v>69058196</v>
      </c>
    </row>
    <row r="61" spans="1:18" s="90" customFormat="1" ht="25.05" customHeight="1" x14ac:dyDescent="0.3">
      <c r="A61" s="126" t="s">
        <v>9</v>
      </c>
      <c r="B61" s="118" t="s">
        <v>206</v>
      </c>
      <c r="C61" s="119"/>
      <c r="D61" s="119"/>
      <c r="E61" s="111">
        <f t="shared" si="7"/>
        <v>0</v>
      </c>
      <c r="F61" s="111">
        <v>9080100</v>
      </c>
      <c r="G61" s="111"/>
      <c r="H61" s="111">
        <f t="shared" si="40"/>
        <v>9080100</v>
      </c>
      <c r="I61" s="111">
        <v>3639200</v>
      </c>
      <c r="J61" s="111"/>
      <c r="K61" s="111">
        <f t="shared" si="41"/>
        <v>3639200</v>
      </c>
      <c r="L61" s="111">
        <v>3430400</v>
      </c>
      <c r="M61" s="111"/>
      <c r="N61" s="111">
        <f t="shared" si="42"/>
        <v>3430400</v>
      </c>
      <c r="O61" s="111">
        <f t="shared" si="43"/>
        <v>16149700</v>
      </c>
      <c r="P61" s="111">
        <f t="shared" si="43"/>
        <v>0</v>
      </c>
      <c r="Q61" s="111">
        <f t="shared" si="43"/>
        <v>16149700</v>
      </c>
    </row>
    <row r="62" spans="1:18" s="90" customFormat="1" ht="25.05" customHeight="1" x14ac:dyDescent="0.3">
      <c r="A62" s="126" t="s">
        <v>9</v>
      </c>
      <c r="B62" s="120" t="s">
        <v>173</v>
      </c>
      <c r="C62" s="121"/>
      <c r="D62" s="121"/>
      <c r="E62" s="111">
        <f t="shared" si="7"/>
        <v>0</v>
      </c>
      <c r="F62" s="111"/>
      <c r="G62" s="111"/>
      <c r="H62" s="111">
        <f t="shared" si="40"/>
        <v>0</v>
      </c>
      <c r="I62" s="111"/>
      <c r="J62" s="111"/>
      <c r="K62" s="111">
        <f t="shared" si="41"/>
        <v>0</v>
      </c>
      <c r="L62" s="111">
        <v>463104</v>
      </c>
      <c r="M62" s="111"/>
      <c r="N62" s="111">
        <f t="shared" si="42"/>
        <v>463104</v>
      </c>
      <c r="O62" s="111">
        <f t="shared" si="43"/>
        <v>463104</v>
      </c>
      <c r="P62" s="111">
        <f t="shared" si="43"/>
        <v>0</v>
      </c>
      <c r="Q62" s="111">
        <f t="shared" si="43"/>
        <v>463104</v>
      </c>
    </row>
    <row r="63" spans="1:18" s="90" customFormat="1" ht="25.05" customHeight="1" x14ac:dyDescent="0.3">
      <c r="A63" s="126" t="s">
        <v>9</v>
      </c>
      <c r="B63" s="118" t="s">
        <v>174</v>
      </c>
      <c r="C63" s="119"/>
      <c r="D63" s="119"/>
      <c r="E63" s="111">
        <f t="shared" si="7"/>
        <v>0</v>
      </c>
      <c r="F63" s="111"/>
      <c r="G63" s="111"/>
      <c r="H63" s="111">
        <f t="shared" si="40"/>
        <v>0</v>
      </c>
      <c r="I63" s="111"/>
      <c r="J63" s="111"/>
      <c r="K63" s="111">
        <f t="shared" si="41"/>
        <v>0</v>
      </c>
      <c r="L63" s="111"/>
      <c r="M63" s="111"/>
      <c r="N63" s="111">
        <f t="shared" si="42"/>
        <v>0</v>
      </c>
      <c r="O63" s="111">
        <f t="shared" si="43"/>
        <v>0</v>
      </c>
      <c r="P63" s="111">
        <f t="shared" si="43"/>
        <v>0</v>
      </c>
      <c r="Q63" s="111">
        <f t="shared" si="43"/>
        <v>0</v>
      </c>
    </row>
    <row r="64" spans="1:18" s="52" customFormat="1" ht="25.05" customHeight="1" x14ac:dyDescent="0.3">
      <c r="A64" s="114">
        <v>10</v>
      </c>
      <c r="B64" s="112" t="s">
        <v>109</v>
      </c>
      <c r="C64" s="113"/>
      <c r="D64" s="113"/>
      <c r="E64" s="111">
        <f t="shared" si="7"/>
        <v>0</v>
      </c>
      <c r="F64" s="111">
        <f t="shared" ref="F64:Q64" si="44">SUM(F65:F77)</f>
        <v>7950252000</v>
      </c>
      <c r="G64" s="111">
        <f t="shared" si="44"/>
        <v>3878632890</v>
      </c>
      <c r="H64" s="111">
        <f t="shared" si="44"/>
        <v>4071619110</v>
      </c>
      <c r="I64" s="111">
        <f t="shared" si="44"/>
        <v>6941656000</v>
      </c>
      <c r="J64" s="111">
        <f t="shared" si="44"/>
        <v>3395161139</v>
      </c>
      <c r="K64" s="111">
        <f t="shared" si="44"/>
        <v>3546494861</v>
      </c>
      <c r="L64" s="111">
        <f t="shared" si="44"/>
        <v>7079664000</v>
      </c>
      <c r="M64" s="111">
        <f t="shared" si="44"/>
        <v>3607782367</v>
      </c>
      <c r="N64" s="111">
        <f t="shared" si="44"/>
        <v>3471881633</v>
      </c>
      <c r="O64" s="111">
        <f t="shared" si="44"/>
        <v>21971572000</v>
      </c>
      <c r="P64" s="111">
        <f t="shared" si="44"/>
        <v>10881576396</v>
      </c>
      <c r="Q64" s="111">
        <f t="shared" si="44"/>
        <v>11089995604</v>
      </c>
      <c r="R64" s="52">
        <f>Q65/80</f>
        <v>7189389.4625000004</v>
      </c>
    </row>
    <row r="65" spans="1:18" s="52" customFormat="1" ht="25.05" customHeight="1" x14ac:dyDescent="0.3">
      <c r="A65" s="114" t="s">
        <v>9</v>
      </c>
      <c r="B65" s="115" t="s">
        <v>184</v>
      </c>
      <c r="C65" s="113"/>
      <c r="D65" s="113"/>
      <c r="E65" s="111">
        <f t="shared" si="7"/>
        <v>0</v>
      </c>
      <c r="F65" s="111">
        <v>385951157</v>
      </c>
      <c r="G65" s="111">
        <v>198000000</v>
      </c>
      <c r="H65" s="111">
        <f t="shared" ref="H65:H77" si="45">F65-G65</f>
        <v>187951157</v>
      </c>
      <c r="I65" s="111">
        <v>387200000</v>
      </c>
      <c r="J65" s="111"/>
      <c r="K65" s="111">
        <f t="shared" ref="K65:K77" si="46">I65-J65</f>
        <v>387200000</v>
      </c>
      <c r="L65" s="111">
        <v>411469989</v>
      </c>
      <c r="M65" s="111">
        <f>L65</f>
        <v>411469989</v>
      </c>
      <c r="N65" s="111">
        <f t="shared" ref="N65:N77" si="47">L65-M65</f>
        <v>0</v>
      </c>
      <c r="O65" s="111">
        <f t="shared" ref="O65:Q77" si="48">C65+F65+I65+L65</f>
        <v>1184621146</v>
      </c>
      <c r="P65" s="111">
        <f t="shared" si="48"/>
        <v>609469989</v>
      </c>
      <c r="Q65" s="111">
        <f t="shared" si="48"/>
        <v>575151157</v>
      </c>
      <c r="R65" s="52" t="s">
        <v>185</v>
      </c>
    </row>
    <row r="66" spans="1:18" s="90" customFormat="1" ht="25.05" customHeight="1" x14ac:dyDescent="0.3">
      <c r="A66" s="114" t="s">
        <v>9</v>
      </c>
      <c r="B66" s="118" t="s">
        <v>206</v>
      </c>
      <c r="C66" s="119"/>
      <c r="D66" s="119"/>
      <c r="E66" s="111">
        <f t="shared" si="7"/>
        <v>0</v>
      </c>
      <c r="F66" s="111">
        <f>221923000-16180000-F80-F61-F53-F42-F37-F32-F28</f>
        <v>134519900</v>
      </c>
      <c r="G66" s="111">
        <v>0</v>
      </c>
      <c r="H66" s="111">
        <f t="shared" si="45"/>
        <v>134519900</v>
      </c>
      <c r="I66" s="111">
        <v>164200000</v>
      </c>
      <c r="J66" s="111">
        <v>0</v>
      </c>
      <c r="K66" s="111">
        <f t="shared" si="46"/>
        <v>164200000</v>
      </c>
      <c r="L66" s="111">
        <v>158336190</v>
      </c>
      <c r="M66" s="111">
        <v>0</v>
      </c>
      <c r="N66" s="111">
        <f t="shared" si="47"/>
        <v>158336190</v>
      </c>
      <c r="O66" s="111">
        <f t="shared" si="48"/>
        <v>457056090</v>
      </c>
      <c r="P66" s="111">
        <f t="shared" si="48"/>
        <v>0</v>
      </c>
      <c r="Q66" s="111">
        <f t="shared" si="48"/>
        <v>457056090</v>
      </c>
    </row>
    <row r="67" spans="1:18" s="90" customFormat="1" ht="25.05" customHeight="1" x14ac:dyDescent="0.3">
      <c r="A67" s="114" t="s">
        <v>9</v>
      </c>
      <c r="B67" s="120" t="s">
        <v>173</v>
      </c>
      <c r="C67" s="121"/>
      <c r="D67" s="121"/>
      <c r="E67" s="111">
        <f t="shared" si="7"/>
        <v>0</v>
      </c>
      <c r="F67" s="111">
        <v>8022982</v>
      </c>
      <c r="G67" s="111"/>
      <c r="H67" s="111">
        <f t="shared" si="45"/>
        <v>8022982</v>
      </c>
      <c r="I67" s="111">
        <v>44459600</v>
      </c>
      <c r="J67" s="111">
        <v>3425000</v>
      </c>
      <c r="K67" s="111">
        <f t="shared" si="46"/>
        <v>41034600</v>
      </c>
      <c r="L67" s="111">
        <v>26053421</v>
      </c>
      <c r="M67" s="111">
        <v>26053421</v>
      </c>
      <c r="N67" s="111">
        <f t="shared" si="47"/>
        <v>0</v>
      </c>
      <c r="O67" s="111">
        <f t="shared" si="48"/>
        <v>78536003</v>
      </c>
      <c r="P67" s="111">
        <f t="shared" si="48"/>
        <v>29478421</v>
      </c>
      <c r="Q67" s="111">
        <f t="shared" si="48"/>
        <v>49057582</v>
      </c>
    </row>
    <row r="68" spans="1:18" s="52" customFormat="1" ht="25.05" customHeight="1" x14ac:dyDescent="0.3">
      <c r="A68" s="114" t="s">
        <v>9</v>
      </c>
      <c r="B68" s="115" t="s">
        <v>186</v>
      </c>
      <c r="C68" s="113"/>
      <c r="D68" s="113"/>
      <c r="E68" s="111">
        <f t="shared" si="7"/>
        <v>0</v>
      </c>
      <c r="F68" s="111">
        <v>1080000000</v>
      </c>
      <c r="G68" s="111">
        <v>830741656</v>
      </c>
      <c r="H68" s="111">
        <f t="shared" si="45"/>
        <v>249258344</v>
      </c>
      <c r="I68" s="111">
        <v>1044140400</v>
      </c>
      <c r="J68" s="111">
        <v>727932082</v>
      </c>
      <c r="K68" s="111">
        <f t="shared" si="46"/>
        <v>316208318</v>
      </c>
      <c r="L68" s="111">
        <v>1044140400</v>
      </c>
      <c r="M68" s="111">
        <v>224855247</v>
      </c>
      <c r="N68" s="111">
        <f t="shared" si="47"/>
        <v>819285153</v>
      </c>
      <c r="O68" s="111">
        <f t="shared" si="48"/>
        <v>3168280800</v>
      </c>
      <c r="P68" s="111">
        <f t="shared" si="48"/>
        <v>1783528985</v>
      </c>
      <c r="Q68" s="111">
        <f t="shared" si="48"/>
        <v>1384751815</v>
      </c>
      <c r="R68" s="52" t="s">
        <v>187</v>
      </c>
    </row>
    <row r="69" spans="1:18" s="52" customFormat="1" ht="25.05" customHeight="1" x14ac:dyDescent="0.3">
      <c r="A69" s="114" t="s">
        <v>9</v>
      </c>
      <c r="B69" s="115" t="s">
        <v>188</v>
      </c>
      <c r="C69" s="113"/>
      <c r="D69" s="113"/>
      <c r="E69" s="111">
        <f t="shared" si="7"/>
        <v>0</v>
      </c>
      <c r="F69" s="111">
        <v>3161162961</v>
      </c>
      <c r="G69" s="111">
        <f>6363483495-G25-G30-G35-G40-G51-G59-G78-G84-G65-G68-G70-G71-G72-G73-G77</f>
        <v>1429798643</v>
      </c>
      <c r="H69" s="111">
        <f t="shared" si="45"/>
        <v>1731364318</v>
      </c>
      <c r="I69" s="111">
        <v>3213574000</v>
      </c>
      <c r="J69" s="111">
        <v>1665040457</v>
      </c>
      <c r="K69" s="111">
        <f t="shared" si="46"/>
        <v>1548533543</v>
      </c>
      <c r="L69" s="111">
        <v>3170571000</v>
      </c>
      <c r="M69" s="111">
        <v>1918407257</v>
      </c>
      <c r="N69" s="111">
        <f t="shared" si="47"/>
        <v>1252163743</v>
      </c>
      <c r="O69" s="111">
        <f t="shared" si="48"/>
        <v>9545307961</v>
      </c>
      <c r="P69" s="111">
        <f t="shared" si="48"/>
        <v>5013246357</v>
      </c>
      <c r="Q69" s="111">
        <f t="shared" si="48"/>
        <v>4532061604</v>
      </c>
    </row>
    <row r="70" spans="1:18" s="52" customFormat="1" ht="25.05" customHeight="1" x14ac:dyDescent="0.3">
      <c r="A70" s="114" t="s">
        <v>9</v>
      </c>
      <c r="B70" s="115" t="s">
        <v>189</v>
      </c>
      <c r="C70" s="113"/>
      <c r="D70" s="113"/>
      <c r="E70" s="111">
        <f t="shared" si="7"/>
        <v>0</v>
      </c>
      <c r="F70" s="111">
        <v>2526506000</v>
      </c>
      <c r="G70" s="111">
        <f>65707200+167183091+203580000+65707200+203580000+14051700+32400000+51246000+32400000+32853600+32400000+26114400+32400000+26114400+200772000</f>
        <v>1186509591</v>
      </c>
      <c r="H70" s="111">
        <f t="shared" si="45"/>
        <v>1339996409</v>
      </c>
      <c r="I70" s="111">
        <v>1583815000</v>
      </c>
      <c r="J70" s="111">
        <v>794217600</v>
      </c>
      <c r="K70" s="111">
        <f t="shared" si="46"/>
        <v>789597400</v>
      </c>
      <c r="L70" s="111">
        <v>1740660000</v>
      </c>
      <c r="M70" s="111">
        <v>860044453</v>
      </c>
      <c r="N70" s="111">
        <f t="shared" si="47"/>
        <v>880615547</v>
      </c>
      <c r="O70" s="111">
        <f t="shared" si="48"/>
        <v>5850981000</v>
      </c>
      <c r="P70" s="111">
        <f t="shared" si="48"/>
        <v>2840771644</v>
      </c>
      <c r="Q70" s="111">
        <f t="shared" si="48"/>
        <v>3010209356</v>
      </c>
    </row>
    <row r="71" spans="1:18" s="52" customFormat="1" ht="25.05" customHeight="1" x14ac:dyDescent="0.3">
      <c r="A71" s="114" t="s">
        <v>9</v>
      </c>
      <c r="B71" s="115" t="s">
        <v>190</v>
      </c>
      <c r="C71" s="113"/>
      <c r="D71" s="113"/>
      <c r="E71" s="111">
        <f t="shared" si="7"/>
        <v>0</v>
      </c>
      <c r="F71" s="111">
        <v>193752000</v>
      </c>
      <c r="G71" s="111">
        <v>84240000</v>
      </c>
      <c r="H71" s="111">
        <f t="shared" si="45"/>
        <v>109512000</v>
      </c>
      <c r="I71" s="111">
        <v>176904000</v>
      </c>
      <c r="J71" s="111">
        <v>80028000</v>
      </c>
      <c r="K71" s="111">
        <f t="shared" si="46"/>
        <v>96876000</v>
      </c>
      <c r="L71" s="111">
        <v>160056000</v>
      </c>
      <c r="M71" s="111">
        <v>71604000</v>
      </c>
      <c r="N71" s="111">
        <f t="shared" si="47"/>
        <v>88452000</v>
      </c>
      <c r="O71" s="111">
        <f t="shared" si="48"/>
        <v>530712000</v>
      </c>
      <c r="P71" s="111">
        <f t="shared" si="48"/>
        <v>235872000</v>
      </c>
      <c r="Q71" s="111">
        <f t="shared" si="48"/>
        <v>294840000</v>
      </c>
      <c r="R71" s="52">
        <f>P65+P68</f>
        <v>2392998974</v>
      </c>
    </row>
    <row r="72" spans="1:18" s="52" customFormat="1" ht="25.05" customHeight="1" x14ac:dyDescent="0.3">
      <c r="A72" s="114" t="s">
        <v>9</v>
      </c>
      <c r="B72" s="115" t="s">
        <v>191</v>
      </c>
      <c r="C72" s="113"/>
      <c r="D72" s="113"/>
      <c r="E72" s="111">
        <f t="shared" si="7"/>
        <v>0</v>
      </c>
      <c r="F72" s="111">
        <v>117936000</v>
      </c>
      <c r="G72" s="111">
        <v>44226000</v>
      </c>
      <c r="H72" s="111">
        <f t="shared" si="45"/>
        <v>73710000</v>
      </c>
      <c r="I72" s="111">
        <v>92664000</v>
      </c>
      <c r="J72" s="111">
        <v>42120000</v>
      </c>
      <c r="K72" s="111">
        <f t="shared" si="46"/>
        <v>50544000</v>
      </c>
      <c r="L72" s="111">
        <v>101088000</v>
      </c>
      <c r="M72" s="111">
        <v>54756000</v>
      </c>
      <c r="N72" s="111">
        <f t="shared" si="47"/>
        <v>46332000</v>
      </c>
      <c r="O72" s="111">
        <f t="shared" si="48"/>
        <v>311688000</v>
      </c>
      <c r="P72" s="111">
        <f t="shared" si="48"/>
        <v>141102000</v>
      </c>
      <c r="Q72" s="111">
        <f t="shared" si="48"/>
        <v>170586000</v>
      </c>
    </row>
    <row r="73" spans="1:18" s="52" customFormat="1" ht="37.799999999999997" customHeight="1" x14ac:dyDescent="0.3">
      <c r="A73" s="114" t="s">
        <v>9</v>
      </c>
      <c r="B73" s="115" t="s">
        <v>192</v>
      </c>
      <c r="C73" s="113"/>
      <c r="D73" s="113"/>
      <c r="E73" s="111">
        <f t="shared" si="7"/>
        <v>0</v>
      </c>
      <c r="F73" s="111">
        <v>127017000</v>
      </c>
      <c r="G73" s="111">
        <v>81117000</v>
      </c>
      <c r="H73" s="111">
        <f t="shared" si="45"/>
        <v>45900000</v>
      </c>
      <c r="I73" s="111">
        <v>58246000</v>
      </c>
      <c r="J73" s="111">
        <v>30000000</v>
      </c>
      <c r="K73" s="111">
        <f t="shared" si="46"/>
        <v>28246000</v>
      </c>
      <c r="L73" s="111">
        <v>70592000</v>
      </c>
      <c r="M73" s="111">
        <v>16592000</v>
      </c>
      <c r="N73" s="111">
        <f t="shared" si="47"/>
        <v>54000000</v>
      </c>
      <c r="O73" s="111">
        <f t="shared" si="48"/>
        <v>255855000</v>
      </c>
      <c r="P73" s="111">
        <f t="shared" si="48"/>
        <v>127709000</v>
      </c>
      <c r="Q73" s="111">
        <f t="shared" si="48"/>
        <v>128146000</v>
      </c>
    </row>
    <row r="74" spans="1:18" s="52" customFormat="1" ht="25.05" customHeight="1" x14ac:dyDescent="0.3">
      <c r="A74" s="114" t="s">
        <v>9</v>
      </c>
      <c r="B74" s="115" t="s">
        <v>193</v>
      </c>
      <c r="C74" s="113"/>
      <c r="D74" s="113"/>
      <c r="E74" s="111">
        <f t="shared" si="7"/>
        <v>0</v>
      </c>
      <c r="F74" s="111">
        <v>167384000</v>
      </c>
      <c r="G74" s="111">
        <v>0</v>
      </c>
      <c r="H74" s="111">
        <f t="shared" si="45"/>
        <v>167384000</v>
      </c>
      <c r="I74" s="111">
        <v>128453000</v>
      </c>
      <c r="J74" s="111">
        <v>33198000</v>
      </c>
      <c r="K74" s="111">
        <f t="shared" si="46"/>
        <v>95255000</v>
      </c>
      <c r="L74" s="111">
        <v>148697000</v>
      </c>
      <c r="M74" s="111">
        <v>0</v>
      </c>
      <c r="N74" s="111">
        <f t="shared" si="47"/>
        <v>148697000</v>
      </c>
      <c r="O74" s="111">
        <f t="shared" si="48"/>
        <v>444534000</v>
      </c>
      <c r="P74" s="111">
        <f t="shared" si="48"/>
        <v>33198000</v>
      </c>
      <c r="Q74" s="111">
        <f t="shared" si="48"/>
        <v>411336000</v>
      </c>
    </row>
    <row r="75" spans="1:18" s="52" customFormat="1" ht="36" customHeight="1" x14ac:dyDescent="0.3">
      <c r="A75" s="114" t="s">
        <v>9</v>
      </c>
      <c r="B75" s="115" t="s">
        <v>194</v>
      </c>
      <c r="C75" s="113"/>
      <c r="D75" s="113"/>
      <c r="E75" s="111">
        <f t="shared" si="7"/>
        <v>0</v>
      </c>
      <c r="F75" s="111">
        <v>0</v>
      </c>
      <c r="G75" s="111">
        <v>0</v>
      </c>
      <c r="H75" s="111">
        <f t="shared" si="45"/>
        <v>0</v>
      </c>
      <c r="I75" s="111"/>
      <c r="J75" s="111"/>
      <c r="K75" s="111">
        <f t="shared" si="46"/>
        <v>0</v>
      </c>
      <c r="L75" s="111"/>
      <c r="M75" s="111">
        <v>0</v>
      </c>
      <c r="N75" s="111">
        <f t="shared" si="47"/>
        <v>0</v>
      </c>
      <c r="O75" s="111">
        <f t="shared" si="48"/>
        <v>0</v>
      </c>
      <c r="P75" s="111">
        <f t="shared" si="48"/>
        <v>0</v>
      </c>
      <c r="Q75" s="111">
        <f t="shared" si="48"/>
        <v>0</v>
      </c>
    </row>
    <row r="76" spans="1:18" s="52" customFormat="1" ht="25.05" customHeight="1" x14ac:dyDescent="0.3">
      <c r="A76" s="114" t="s">
        <v>9</v>
      </c>
      <c r="B76" s="115" t="s">
        <v>195</v>
      </c>
      <c r="C76" s="113"/>
      <c r="D76" s="113"/>
      <c r="E76" s="111">
        <f t="shared" si="7"/>
        <v>0</v>
      </c>
      <c r="F76" s="111"/>
      <c r="G76" s="111"/>
      <c r="H76" s="111">
        <f t="shared" si="45"/>
        <v>0</v>
      </c>
      <c r="I76" s="111">
        <v>0</v>
      </c>
      <c r="J76" s="111"/>
      <c r="K76" s="111">
        <f t="shared" si="46"/>
        <v>0</v>
      </c>
      <c r="L76" s="111"/>
      <c r="M76" s="111">
        <v>0</v>
      </c>
      <c r="N76" s="111">
        <f t="shared" si="47"/>
        <v>0</v>
      </c>
      <c r="O76" s="111">
        <f t="shared" si="48"/>
        <v>0</v>
      </c>
      <c r="P76" s="111">
        <f t="shared" si="48"/>
        <v>0</v>
      </c>
      <c r="Q76" s="111">
        <f t="shared" si="48"/>
        <v>0</v>
      </c>
    </row>
    <row r="77" spans="1:18" s="52" customFormat="1" ht="25.05" customHeight="1" x14ac:dyDescent="0.3">
      <c r="A77" s="114" t="s">
        <v>9</v>
      </c>
      <c r="B77" s="115" t="s">
        <v>196</v>
      </c>
      <c r="C77" s="113"/>
      <c r="D77" s="113"/>
      <c r="E77" s="111">
        <f t="shared" si="7"/>
        <v>0</v>
      </c>
      <c r="F77" s="111">
        <v>48000000</v>
      </c>
      <c r="G77" s="111">
        <v>24000000</v>
      </c>
      <c r="H77" s="111">
        <f t="shared" si="45"/>
        <v>24000000</v>
      </c>
      <c r="I77" s="111">
        <v>48000000</v>
      </c>
      <c r="J77" s="111">
        <v>19200000</v>
      </c>
      <c r="K77" s="111">
        <f t="shared" si="46"/>
        <v>28800000</v>
      </c>
      <c r="L77" s="111">
        <v>48000000</v>
      </c>
      <c r="M77" s="111">
        <v>24000000</v>
      </c>
      <c r="N77" s="111">
        <f t="shared" si="47"/>
        <v>24000000</v>
      </c>
      <c r="O77" s="111">
        <f t="shared" si="48"/>
        <v>144000000</v>
      </c>
      <c r="P77" s="111">
        <f t="shared" si="48"/>
        <v>67200000</v>
      </c>
      <c r="Q77" s="111">
        <f t="shared" si="48"/>
        <v>76800000</v>
      </c>
    </row>
    <row r="78" spans="1:18" s="52" customFormat="1" ht="25.05" customHeight="1" x14ac:dyDescent="0.3">
      <c r="A78" s="114">
        <v>11</v>
      </c>
      <c r="B78" s="112" t="s">
        <v>110</v>
      </c>
      <c r="C78" s="113"/>
      <c r="D78" s="113"/>
      <c r="E78" s="111">
        <f t="shared" si="7"/>
        <v>0</v>
      </c>
      <c r="F78" s="111">
        <f t="shared" ref="F78:Q78" si="49">SUM(F79:F83)</f>
        <v>712964000</v>
      </c>
      <c r="G78" s="111">
        <f t="shared" si="49"/>
        <v>346814605</v>
      </c>
      <c r="H78" s="111">
        <f t="shared" si="49"/>
        <v>366149395</v>
      </c>
      <c r="I78" s="111">
        <f t="shared" si="49"/>
        <v>346225000</v>
      </c>
      <c r="J78" s="111">
        <f t="shared" si="49"/>
        <v>164887000</v>
      </c>
      <c r="K78" s="111">
        <f t="shared" si="49"/>
        <v>181338000</v>
      </c>
      <c r="L78" s="111">
        <f t="shared" si="49"/>
        <v>401588000</v>
      </c>
      <c r="M78" s="111">
        <f t="shared" si="49"/>
        <v>200195300</v>
      </c>
      <c r="N78" s="111">
        <f t="shared" si="49"/>
        <v>201392700</v>
      </c>
      <c r="O78" s="111">
        <f t="shared" si="49"/>
        <v>1460777000</v>
      </c>
      <c r="P78" s="111">
        <f t="shared" si="49"/>
        <v>711896905</v>
      </c>
      <c r="Q78" s="111">
        <f t="shared" si="49"/>
        <v>748880095</v>
      </c>
    </row>
    <row r="79" spans="1:18" s="52" customFormat="1" ht="25.05" customHeight="1" x14ac:dyDescent="0.3">
      <c r="A79" s="114" t="s">
        <v>9</v>
      </c>
      <c r="B79" s="115" t="s">
        <v>205</v>
      </c>
      <c r="C79" s="113"/>
      <c r="D79" s="113"/>
      <c r="E79" s="111">
        <f t="shared" si="7"/>
        <v>0</v>
      </c>
      <c r="F79" s="111">
        <v>98233230</v>
      </c>
      <c r="G79" s="111">
        <v>59012305</v>
      </c>
      <c r="H79" s="111">
        <f t="shared" ref="H79:H83" si="50">F79-G79</f>
        <v>39220925</v>
      </c>
      <c r="I79" s="111">
        <v>50048000</v>
      </c>
      <c r="J79" s="111">
        <v>26017000</v>
      </c>
      <c r="K79" s="111">
        <f t="shared" ref="K79:K83" si="51">I79-J79</f>
        <v>24031000</v>
      </c>
      <c r="L79" s="111">
        <v>41821524</v>
      </c>
      <c r="M79" s="111">
        <v>34798300</v>
      </c>
      <c r="N79" s="111">
        <f t="shared" ref="N79:N83" si="52">L79-M79</f>
        <v>7023224</v>
      </c>
      <c r="O79" s="111">
        <f t="shared" ref="O79:Q83" si="53">C79+F79+I79+L79</f>
        <v>190102754</v>
      </c>
      <c r="P79" s="111">
        <f t="shared" si="53"/>
        <v>119827605</v>
      </c>
      <c r="Q79" s="111">
        <f t="shared" si="53"/>
        <v>70275149</v>
      </c>
    </row>
    <row r="80" spans="1:18" s="52" customFormat="1" ht="25.05" customHeight="1" x14ac:dyDescent="0.3">
      <c r="A80" s="114" t="s">
        <v>9</v>
      </c>
      <c r="B80" s="118" t="s">
        <v>206</v>
      </c>
      <c r="C80" s="119"/>
      <c r="D80" s="119"/>
      <c r="E80" s="111">
        <f t="shared" si="7"/>
        <v>0</v>
      </c>
      <c r="F80" s="111">
        <v>11099800</v>
      </c>
      <c r="G80" s="111"/>
      <c r="H80" s="111">
        <f t="shared" si="50"/>
        <v>11099800</v>
      </c>
      <c r="I80" s="111"/>
      <c r="J80" s="111"/>
      <c r="K80" s="111">
        <f t="shared" si="51"/>
        <v>0</v>
      </c>
      <c r="L80" s="111">
        <v>4717600</v>
      </c>
      <c r="M80" s="111"/>
      <c r="N80" s="111">
        <f t="shared" si="52"/>
        <v>4717600</v>
      </c>
      <c r="O80" s="111">
        <f t="shared" si="53"/>
        <v>15817400</v>
      </c>
      <c r="P80" s="111">
        <f t="shared" si="53"/>
        <v>0</v>
      </c>
      <c r="Q80" s="111">
        <f t="shared" si="53"/>
        <v>15817400</v>
      </c>
    </row>
    <row r="81" spans="1:17" s="52" customFormat="1" ht="25.05" customHeight="1" x14ac:dyDescent="0.3">
      <c r="A81" s="114"/>
      <c r="B81" s="120" t="s">
        <v>173</v>
      </c>
      <c r="C81" s="119"/>
      <c r="D81" s="119"/>
      <c r="E81" s="111"/>
      <c r="F81" s="111">
        <v>1664970</v>
      </c>
      <c r="G81" s="111"/>
      <c r="H81" s="111">
        <f t="shared" si="50"/>
        <v>1664970</v>
      </c>
      <c r="I81" s="111">
        <f>I80*2/3/4</f>
        <v>0</v>
      </c>
      <c r="J81" s="111"/>
      <c r="K81" s="111">
        <f t="shared" si="51"/>
        <v>0</v>
      </c>
      <c r="L81" s="111">
        <v>636876</v>
      </c>
      <c r="M81" s="111"/>
      <c r="N81" s="111">
        <f t="shared" si="52"/>
        <v>636876</v>
      </c>
      <c r="O81" s="111">
        <f t="shared" si="53"/>
        <v>2301846</v>
      </c>
      <c r="P81" s="111">
        <f t="shared" si="53"/>
        <v>0</v>
      </c>
      <c r="Q81" s="111">
        <f t="shared" si="53"/>
        <v>2301846</v>
      </c>
    </row>
    <row r="82" spans="1:17" s="52" customFormat="1" ht="25.05" customHeight="1" x14ac:dyDescent="0.3">
      <c r="A82" s="114" t="s">
        <v>9</v>
      </c>
      <c r="B82" s="115" t="s">
        <v>197</v>
      </c>
      <c r="C82" s="113"/>
      <c r="D82" s="113"/>
      <c r="E82" s="111">
        <f t="shared" si="7"/>
        <v>0</v>
      </c>
      <c r="F82" s="111">
        <v>5000000</v>
      </c>
      <c r="G82" s="111"/>
      <c r="H82" s="111">
        <f t="shared" si="50"/>
        <v>5000000</v>
      </c>
      <c r="I82" s="111">
        <v>5000000</v>
      </c>
      <c r="J82" s="111">
        <v>0</v>
      </c>
      <c r="K82" s="111">
        <f t="shared" si="51"/>
        <v>5000000</v>
      </c>
      <c r="L82" s="111">
        <v>5000000</v>
      </c>
      <c r="M82" s="111">
        <v>0</v>
      </c>
      <c r="N82" s="111">
        <f t="shared" si="52"/>
        <v>5000000</v>
      </c>
      <c r="O82" s="111">
        <f t="shared" si="53"/>
        <v>15000000</v>
      </c>
      <c r="P82" s="111">
        <f t="shared" si="53"/>
        <v>0</v>
      </c>
      <c r="Q82" s="111">
        <f t="shared" si="53"/>
        <v>15000000</v>
      </c>
    </row>
    <row r="83" spans="1:17" s="52" customFormat="1" ht="25.05" customHeight="1" x14ac:dyDescent="0.3">
      <c r="A83" s="114" t="s">
        <v>9</v>
      </c>
      <c r="B83" s="115" t="s">
        <v>198</v>
      </c>
      <c r="C83" s="113"/>
      <c r="D83" s="113"/>
      <c r="E83" s="111">
        <f t="shared" ref="E83:E92" si="54">C83-D83</f>
        <v>0</v>
      </c>
      <c r="F83" s="111">
        <v>596966000</v>
      </c>
      <c r="G83" s="111">
        <v>287802300</v>
      </c>
      <c r="H83" s="111">
        <f t="shared" si="50"/>
        <v>309163700</v>
      </c>
      <c r="I83" s="111">
        <v>291177000</v>
      </c>
      <c r="J83" s="111">
        <v>138870000</v>
      </c>
      <c r="K83" s="111">
        <f t="shared" si="51"/>
        <v>152307000</v>
      </c>
      <c r="L83" s="111">
        <v>349412000</v>
      </c>
      <c r="M83" s="111">
        <v>165397000</v>
      </c>
      <c r="N83" s="111">
        <f t="shared" si="52"/>
        <v>184015000</v>
      </c>
      <c r="O83" s="111">
        <f t="shared" si="53"/>
        <v>1237555000</v>
      </c>
      <c r="P83" s="111">
        <f t="shared" si="53"/>
        <v>592069300</v>
      </c>
      <c r="Q83" s="111">
        <f t="shared" si="53"/>
        <v>645485700</v>
      </c>
    </row>
    <row r="84" spans="1:17" s="52" customFormat="1" ht="25.05" customHeight="1" x14ac:dyDescent="0.3">
      <c r="A84" s="114">
        <v>12</v>
      </c>
      <c r="B84" s="112" t="s">
        <v>111</v>
      </c>
      <c r="C84" s="113"/>
      <c r="D84" s="113"/>
      <c r="E84" s="111">
        <f t="shared" si="54"/>
        <v>0</v>
      </c>
      <c r="F84" s="111">
        <f t="shared" ref="F84:Q84" si="55">SUM(F85:F88)</f>
        <v>28249000</v>
      </c>
      <c r="G84" s="111">
        <f t="shared" si="55"/>
        <v>15000000</v>
      </c>
      <c r="H84" s="111">
        <f t="shared" si="55"/>
        <v>13249000</v>
      </c>
      <c r="I84" s="111">
        <f t="shared" si="55"/>
        <v>189203000</v>
      </c>
      <c r="J84" s="111">
        <f t="shared" si="55"/>
        <v>105743000</v>
      </c>
      <c r="K84" s="111">
        <f t="shared" si="55"/>
        <v>83460000</v>
      </c>
      <c r="L84" s="111">
        <f t="shared" si="55"/>
        <v>187194000</v>
      </c>
      <c r="M84" s="111">
        <f t="shared" si="55"/>
        <v>111686457</v>
      </c>
      <c r="N84" s="111">
        <f t="shared" si="55"/>
        <v>75507543</v>
      </c>
      <c r="O84" s="111">
        <f t="shared" si="55"/>
        <v>404646000</v>
      </c>
      <c r="P84" s="111">
        <f t="shared" si="55"/>
        <v>232429457</v>
      </c>
      <c r="Q84" s="111">
        <f t="shared" si="55"/>
        <v>172216543</v>
      </c>
    </row>
    <row r="85" spans="1:17" s="52" customFormat="1" ht="25.05" customHeight="1" x14ac:dyDescent="0.3">
      <c r="A85" s="114" t="s">
        <v>9</v>
      </c>
      <c r="B85" s="115" t="s">
        <v>199</v>
      </c>
      <c r="C85" s="113"/>
      <c r="D85" s="113"/>
      <c r="E85" s="111">
        <f t="shared" si="54"/>
        <v>0</v>
      </c>
      <c r="F85" s="111">
        <v>25424100</v>
      </c>
      <c r="G85" s="111">
        <v>15000000</v>
      </c>
      <c r="H85" s="111">
        <f t="shared" ref="H85:H92" si="56">F85-G85</f>
        <v>10424100</v>
      </c>
      <c r="I85" s="111">
        <f>35027000-I86-I87</f>
        <v>35027000</v>
      </c>
      <c r="J85" s="111">
        <v>35027000</v>
      </c>
      <c r="K85" s="111">
        <f t="shared" ref="K85:K88" si="57">I85-J85</f>
        <v>0</v>
      </c>
      <c r="L85" s="111">
        <v>29270457</v>
      </c>
      <c r="M85" s="111">
        <f>L85</f>
        <v>29270457</v>
      </c>
      <c r="N85" s="111">
        <f t="shared" ref="N85:N88" si="58">L85-M85</f>
        <v>0</v>
      </c>
      <c r="O85" s="111">
        <f t="shared" ref="O85:Q88" si="59">C85+F85+I85+L85</f>
        <v>89721557</v>
      </c>
      <c r="P85" s="111">
        <f t="shared" si="59"/>
        <v>79297457</v>
      </c>
      <c r="Q85" s="111">
        <f t="shared" si="59"/>
        <v>10424100</v>
      </c>
    </row>
    <row r="86" spans="1:17" s="52" customFormat="1" ht="25.05" customHeight="1" x14ac:dyDescent="0.3">
      <c r="A86" s="114" t="s">
        <v>9</v>
      </c>
      <c r="B86" s="118" t="s">
        <v>206</v>
      </c>
      <c r="C86" s="119"/>
      <c r="D86" s="119"/>
      <c r="E86" s="111">
        <f t="shared" si="54"/>
        <v>0</v>
      </c>
      <c r="F86" s="111">
        <v>2824900</v>
      </c>
      <c r="G86" s="111"/>
      <c r="H86" s="111">
        <f t="shared" si="56"/>
        <v>2824900</v>
      </c>
      <c r="I86" s="111"/>
      <c r="J86" s="111"/>
      <c r="K86" s="111">
        <f t="shared" si="57"/>
        <v>0</v>
      </c>
      <c r="L86" s="111">
        <v>3301800</v>
      </c>
      <c r="M86" s="111"/>
      <c r="N86" s="111">
        <f t="shared" si="58"/>
        <v>3301800</v>
      </c>
      <c r="O86" s="111">
        <f t="shared" si="59"/>
        <v>6126700</v>
      </c>
      <c r="P86" s="111">
        <f t="shared" si="59"/>
        <v>0</v>
      </c>
      <c r="Q86" s="111">
        <f t="shared" si="59"/>
        <v>6126700</v>
      </c>
    </row>
    <row r="87" spans="1:17" s="52" customFormat="1" ht="25.05" customHeight="1" x14ac:dyDescent="0.3">
      <c r="A87" s="114"/>
      <c r="B87" s="118" t="s">
        <v>173</v>
      </c>
      <c r="C87" s="119"/>
      <c r="D87" s="119"/>
      <c r="E87" s="111"/>
      <c r="F87" s="111"/>
      <c r="G87" s="111"/>
      <c r="H87" s="111"/>
      <c r="I87" s="111">
        <f>I86*2/3/4</f>
        <v>0</v>
      </c>
      <c r="J87" s="111"/>
      <c r="K87" s="111"/>
      <c r="L87" s="111">
        <v>445743</v>
      </c>
      <c r="M87" s="111"/>
      <c r="N87" s="111">
        <f t="shared" si="58"/>
        <v>445743</v>
      </c>
      <c r="O87" s="111">
        <f t="shared" si="59"/>
        <v>445743</v>
      </c>
      <c r="P87" s="111">
        <f t="shared" si="59"/>
        <v>0</v>
      </c>
      <c r="Q87" s="111">
        <f t="shared" si="59"/>
        <v>445743</v>
      </c>
    </row>
    <row r="88" spans="1:17" s="52" customFormat="1" ht="25.05" customHeight="1" x14ac:dyDescent="0.3">
      <c r="A88" s="114" t="s">
        <v>9</v>
      </c>
      <c r="B88" s="115" t="s">
        <v>200</v>
      </c>
      <c r="C88" s="113"/>
      <c r="D88" s="113"/>
      <c r="E88" s="111">
        <f t="shared" si="54"/>
        <v>0</v>
      </c>
      <c r="F88" s="111">
        <v>0</v>
      </c>
      <c r="G88" s="111"/>
      <c r="H88" s="111">
        <f t="shared" si="56"/>
        <v>0</v>
      </c>
      <c r="I88" s="111">
        <v>154176000</v>
      </c>
      <c r="J88" s="111">
        <v>70716000</v>
      </c>
      <c r="K88" s="111">
        <f t="shared" si="57"/>
        <v>83460000</v>
      </c>
      <c r="L88" s="111">
        <v>154176000</v>
      </c>
      <c r="M88" s="111">
        <v>82416000</v>
      </c>
      <c r="N88" s="111">
        <f t="shared" si="58"/>
        <v>71760000</v>
      </c>
      <c r="O88" s="111">
        <f t="shared" si="59"/>
        <v>308352000</v>
      </c>
      <c r="P88" s="111">
        <f t="shared" si="59"/>
        <v>153132000</v>
      </c>
      <c r="Q88" s="111">
        <f t="shared" si="59"/>
        <v>155220000</v>
      </c>
    </row>
    <row r="89" spans="1:17" s="52" customFormat="1" ht="25.05" customHeight="1" x14ac:dyDescent="0.3">
      <c r="A89" s="114">
        <v>13</v>
      </c>
      <c r="B89" s="112" t="s">
        <v>114</v>
      </c>
      <c r="C89" s="113"/>
      <c r="D89" s="113"/>
      <c r="E89" s="111">
        <f t="shared" si="54"/>
        <v>0</v>
      </c>
      <c r="F89" s="111">
        <f>SUM(F90:F91)</f>
        <v>48038000</v>
      </c>
      <c r="G89" s="111">
        <f t="shared" ref="G89:Q89" si="60">SUM(G90:G91)</f>
        <v>0</v>
      </c>
      <c r="H89" s="111">
        <f t="shared" si="60"/>
        <v>48038000</v>
      </c>
      <c r="I89" s="111">
        <f t="shared" si="60"/>
        <v>40371000</v>
      </c>
      <c r="J89" s="111">
        <f t="shared" si="60"/>
        <v>13063604</v>
      </c>
      <c r="K89" s="111">
        <f t="shared" si="60"/>
        <v>27307396</v>
      </c>
      <c r="L89" s="111">
        <f t="shared" si="60"/>
        <v>41147000</v>
      </c>
      <c r="M89" s="111">
        <f t="shared" si="60"/>
        <v>41147000</v>
      </c>
      <c r="N89" s="111">
        <f t="shared" si="60"/>
        <v>0</v>
      </c>
      <c r="O89" s="111">
        <f t="shared" si="60"/>
        <v>129556000</v>
      </c>
      <c r="P89" s="111">
        <f t="shared" si="60"/>
        <v>54210604</v>
      </c>
      <c r="Q89" s="111">
        <f t="shared" si="60"/>
        <v>75345396</v>
      </c>
    </row>
    <row r="90" spans="1:17" ht="25.05" customHeight="1" x14ac:dyDescent="0.3">
      <c r="A90" s="127" t="s">
        <v>9</v>
      </c>
      <c r="B90" s="115" t="s">
        <v>114</v>
      </c>
      <c r="C90" s="113"/>
      <c r="D90" s="113"/>
      <c r="E90" s="111">
        <f t="shared" si="54"/>
        <v>0</v>
      </c>
      <c r="F90" s="111">
        <v>48038000</v>
      </c>
      <c r="G90" s="111"/>
      <c r="H90" s="111">
        <f t="shared" si="56"/>
        <v>48038000</v>
      </c>
      <c r="I90" s="111">
        <v>40371000</v>
      </c>
      <c r="J90" s="111">
        <v>13063604</v>
      </c>
      <c r="K90" s="111">
        <f t="shared" ref="K90:K92" si="61">I90-J90</f>
        <v>27307396</v>
      </c>
      <c r="L90" s="111">
        <v>41147000</v>
      </c>
      <c r="M90" s="111">
        <v>41147000</v>
      </c>
      <c r="N90" s="111">
        <f t="shared" ref="N90:N92" si="62">L90-M90</f>
        <v>0</v>
      </c>
      <c r="O90" s="111">
        <f t="shared" ref="O90:Q91" si="63">C90+F90+I90+L90</f>
        <v>129556000</v>
      </c>
      <c r="P90" s="111">
        <f t="shared" si="63"/>
        <v>54210604</v>
      </c>
      <c r="Q90" s="111">
        <f t="shared" si="63"/>
        <v>75345396</v>
      </c>
    </row>
    <row r="91" spans="1:17" s="91" customFormat="1" ht="25.05" customHeight="1" x14ac:dyDescent="0.3">
      <c r="A91" s="127" t="s">
        <v>9</v>
      </c>
      <c r="B91" s="118" t="s">
        <v>206</v>
      </c>
      <c r="C91" s="119"/>
      <c r="D91" s="119"/>
      <c r="E91" s="111">
        <f t="shared" si="54"/>
        <v>0</v>
      </c>
      <c r="F91" s="111">
        <v>0</v>
      </c>
      <c r="G91" s="111"/>
      <c r="H91" s="111">
        <f t="shared" si="56"/>
        <v>0</v>
      </c>
      <c r="I91" s="111"/>
      <c r="J91" s="111"/>
      <c r="K91" s="111">
        <f t="shared" si="61"/>
        <v>0</v>
      </c>
      <c r="L91" s="111"/>
      <c r="M91" s="111"/>
      <c r="N91" s="111">
        <f t="shared" si="62"/>
        <v>0</v>
      </c>
      <c r="O91" s="111">
        <f t="shared" si="63"/>
        <v>0</v>
      </c>
      <c r="P91" s="111">
        <f t="shared" si="63"/>
        <v>0</v>
      </c>
      <c r="Q91" s="111">
        <f t="shared" si="63"/>
        <v>0</v>
      </c>
    </row>
    <row r="92" spans="1:17" s="52" customFormat="1" ht="25.05" customHeight="1" x14ac:dyDescent="0.3">
      <c r="A92" s="114" t="s">
        <v>29</v>
      </c>
      <c r="B92" s="112" t="s">
        <v>32</v>
      </c>
      <c r="C92" s="113"/>
      <c r="D92" s="113"/>
      <c r="E92" s="111">
        <f t="shared" si="54"/>
        <v>0</v>
      </c>
      <c r="F92" s="111">
        <v>193112000</v>
      </c>
      <c r="G92" s="111"/>
      <c r="H92" s="111">
        <f t="shared" si="56"/>
        <v>193112000</v>
      </c>
      <c r="I92" s="111">
        <v>162290000</v>
      </c>
      <c r="J92" s="111"/>
      <c r="K92" s="111">
        <f t="shared" si="61"/>
        <v>162290000</v>
      </c>
      <c r="L92" s="111">
        <v>165411000</v>
      </c>
      <c r="M92" s="111"/>
      <c r="N92" s="111">
        <f t="shared" si="62"/>
        <v>165411000</v>
      </c>
      <c r="O92" s="111">
        <f t="shared" ref="O92" si="64">F92+I92+L92</f>
        <v>520813000</v>
      </c>
      <c r="P92" s="111"/>
      <c r="Q92" s="111">
        <f t="shared" ref="Q92" si="65">O92-P92</f>
        <v>520813000</v>
      </c>
    </row>
    <row r="94" spans="1:17" x14ac:dyDescent="0.3">
      <c r="B94" s="57" t="s">
        <v>201</v>
      </c>
      <c r="C94" s="57"/>
      <c r="D94" s="57"/>
      <c r="E94" s="57"/>
    </row>
    <row r="118" spans="7:13" x14ac:dyDescent="0.3">
      <c r="G118" s="51">
        <f>'Phụ biểu 01'!G107</f>
        <v>6363483495</v>
      </c>
      <c r="J118" s="51">
        <f>'Phụ biểu 01'!H107</f>
        <v>4163696743</v>
      </c>
    </row>
    <row r="119" spans="7:13" x14ac:dyDescent="0.3">
      <c r="G119" s="51">
        <f>G8-G118</f>
        <v>0</v>
      </c>
      <c r="J119" s="51">
        <f>J8-J118</f>
        <v>0</v>
      </c>
      <c r="M119" s="51">
        <f>M8-M118</f>
        <v>4494209237</v>
      </c>
    </row>
  </sheetData>
  <mergeCells count="24">
    <mergeCell ref="P6:P7"/>
    <mergeCell ref="Q6:Q7"/>
    <mergeCell ref="J6:J7"/>
    <mergeCell ref="K6:K7"/>
    <mergeCell ref="L6:L7"/>
    <mergeCell ref="M6:M7"/>
    <mergeCell ref="N6:N7"/>
    <mergeCell ref="O6:O7"/>
    <mergeCell ref="I6:I7"/>
    <mergeCell ref="A2:Q2"/>
    <mergeCell ref="A3:Q3"/>
    <mergeCell ref="A5:A7"/>
    <mergeCell ref="B5:B7"/>
    <mergeCell ref="C5:E5"/>
    <mergeCell ref="F5:H5"/>
    <mergeCell ref="I5:K5"/>
    <mergeCell ref="L5:N5"/>
    <mergeCell ref="O5:Q5"/>
    <mergeCell ref="C6:C7"/>
    <mergeCell ref="D6:D7"/>
    <mergeCell ref="E6:E7"/>
    <mergeCell ref="F6:F7"/>
    <mergeCell ref="G6:G7"/>
    <mergeCell ref="H6:H7"/>
  </mergeCells>
  <pageMargins left="3.937007874015748E-2" right="0.15748031496062992" top="0.39370078740157483" bottom="0.51181102362204722" header="0.11811023622047245" footer="0.11811023622047245"/>
  <pageSetup paperSize="9" scale="75" orientation="landscape" verticalDpi="0" r:id="rId1"/>
  <headerFooter>
    <oddFooter>&amp;C &amp;P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8"/>
  <sheetViews>
    <sheetView workbookViewId="0">
      <selection activeCell="B19" sqref="B19"/>
    </sheetView>
  </sheetViews>
  <sheetFormatPr defaultColWidth="9.109375" defaultRowHeight="15.6" x14ac:dyDescent="0.3"/>
  <cols>
    <col min="1" max="1" width="8.109375" style="1" customWidth="1"/>
    <col min="2" max="2" width="54.5546875" style="1" customWidth="1"/>
    <col min="3" max="3" width="29.88671875" style="3" customWidth="1"/>
    <col min="4" max="4" width="12.6640625" style="1" bestFit="1" customWidth="1"/>
    <col min="5" max="5" width="13.5546875" style="1" bestFit="1" customWidth="1"/>
    <col min="6" max="16384" width="9.109375" style="1"/>
  </cols>
  <sheetData>
    <row r="1" spans="1:6" x14ac:dyDescent="0.3">
      <c r="C1" s="128" t="s">
        <v>96</v>
      </c>
      <c r="E1" s="172"/>
      <c r="F1" s="172"/>
    </row>
    <row r="3" spans="1:6" ht="17.399999999999999" x14ac:dyDescent="0.3">
      <c r="A3" s="173" t="s">
        <v>45</v>
      </c>
      <c r="B3" s="173"/>
      <c r="C3" s="173"/>
    </row>
    <row r="4" spans="1:6" ht="18" x14ac:dyDescent="0.3">
      <c r="A4" s="174" t="s">
        <v>335</v>
      </c>
      <c r="B4" s="174"/>
      <c r="C4" s="174"/>
    </row>
    <row r="5" spans="1:6" x14ac:dyDescent="0.3">
      <c r="A5" s="105"/>
      <c r="B5" s="105"/>
      <c r="C5" s="105"/>
    </row>
    <row r="6" spans="1:6" ht="16.2" thickBot="1" x14ac:dyDescent="0.35">
      <c r="C6" s="2" t="s">
        <v>0</v>
      </c>
    </row>
    <row r="7" spans="1:6" ht="19.8" customHeight="1" thickTop="1" x14ac:dyDescent="0.3">
      <c r="A7" s="4" t="s">
        <v>1</v>
      </c>
      <c r="B7" s="5" t="s">
        <v>2</v>
      </c>
      <c r="C7" s="6" t="s">
        <v>3</v>
      </c>
    </row>
    <row r="8" spans="1:6" x14ac:dyDescent="0.3">
      <c r="A8" s="7" t="s">
        <v>4</v>
      </c>
      <c r="B8" s="8" t="s">
        <v>5</v>
      </c>
      <c r="C8" s="9" t="s">
        <v>50</v>
      </c>
    </row>
    <row r="9" spans="1:6" x14ac:dyDescent="0.3">
      <c r="A9" s="10"/>
      <c r="B9" s="11" t="s">
        <v>6</v>
      </c>
      <c r="C9" s="12">
        <f>C10+C11+C47</f>
        <v>135811.18149500003</v>
      </c>
    </row>
    <row r="10" spans="1:6" ht="31.2" x14ac:dyDescent="0.3">
      <c r="A10" s="7" t="s">
        <v>4</v>
      </c>
      <c r="B10" s="11" t="s">
        <v>46</v>
      </c>
      <c r="C10" s="12"/>
    </row>
    <row r="11" spans="1:6" ht="19.95" customHeight="1" x14ac:dyDescent="0.3">
      <c r="A11" s="7" t="s">
        <v>5</v>
      </c>
      <c r="B11" s="11" t="s">
        <v>47</v>
      </c>
      <c r="C11" s="12">
        <f>C12+C29+C43+C44+C45+C46</f>
        <v>135811.18149500003</v>
      </c>
      <c r="D11" s="19"/>
      <c r="E11" s="19"/>
    </row>
    <row r="12" spans="1:6" ht="19.95" customHeight="1" x14ac:dyDescent="0.3">
      <c r="A12" s="7" t="s">
        <v>7</v>
      </c>
      <c r="B12" s="11" t="s">
        <v>48</v>
      </c>
      <c r="C12" s="12"/>
    </row>
    <row r="13" spans="1:6" ht="19.95" customHeight="1" x14ac:dyDescent="0.3">
      <c r="A13" s="13">
        <v>1</v>
      </c>
      <c r="B13" s="14" t="s">
        <v>8</v>
      </c>
      <c r="C13" s="12"/>
    </row>
    <row r="14" spans="1:6" ht="19.95" customHeight="1" x14ac:dyDescent="0.3">
      <c r="A14" s="13" t="s">
        <v>9</v>
      </c>
      <c r="B14" s="14" t="s">
        <v>10</v>
      </c>
      <c r="C14" s="12"/>
    </row>
    <row r="15" spans="1:6" ht="19.95" customHeight="1" x14ac:dyDescent="0.3">
      <c r="A15" s="13" t="s">
        <v>9</v>
      </c>
      <c r="B15" s="14" t="s">
        <v>11</v>
      </c>
      <c r="C15" s="12"/>
    </row>
    <row r="16" spans="1:6" ht="19.95" customHeight="1" x14ac:dyDescent="0.3">
      <c r="A16" s="13" t="s">
        <v>9</v>
      </c>
      <c r="B16" s="14" t="s">
        <v>12</v>
      </c>
      <c r="C16" s="12"/>
    </row>
    <row r="17" spans="1:5" ht="19.95" customHeight="1" x14ac:dyDescent="0.3">
      <c r="A17" s="13" t="s">
        <v>9</v>
      </c>
      <c r="B17" s="14" t="s">
        <v>13</v>
      </c>
      <c r="C17" s="12"/>
    </row>
    <row r="18" spans="1:5" ht="19.95" customHeight="1" x14ac:dyDescent="0.3">
      <c r="A18" s="13" t="s">
        <v>9</v>
      </c>
      <c r="B18" s="14" t="s">
        <v>14</v>
      </c>
      <c r="C18" s="12"/>
    </row>
    <row r="19" spans="1:5" ht="19.95" customHeight="1" x14ac:dyDescent="0.3">
      <c r="A19" s="13" t="s">
        <v>9</v>
      </c>
      <c r="B19" s="14" t="s">
        <v>15</v>
      </c>
      <c r="C19" s="12"/>
    </row>
    <row r="20" spans="1:5" ht="19.95" customHeight="1" x14ac:dyDescent="0.3">
      <c r="A20" s="13" t="s">
        <v>9</v>
      </c>
      <c r="B20" s="14" t="s">
        <v>16</v>
      </c>
      <c r="C20" s="12"/>
    </row>
    <row r="21" spans="1:5" ht="19.95" customHeight="1" x14ac:dyDescent="0.3">
      <c r="A21" s="13" t="s">
        <v>9</v>
      </c>
      <c r="B21" s="14" t="s">
        <v>17</v>
      </c>
      <c r="C21" s="12"/>
    </row>
    <row r="22" spans="1:5" ht="19.95" customHeight="1" x14ac:dyDescent="0.3">
      <c r="A22" s="13" t="s">
        <v>9</v>
      </c>
      <c r="B22" s="14" t="s">
        <v>18</v>
      </c>
      <c r="C22" s="12"/>
    </row>
    <row r="23" spans="1:5" ht="19.95" customHeight="1" x14ac:dyDescent="0.3">
      <c r="A23" s="13" t="s">
        <v>9</v>
      </c>
      <c r="B23" s="14" t="s">
        <v>19</v>
      </c>
      <c r="C23" s="12"/>
    </row>
    <row r="24" spans="1:5" ht="33.6" customHeight="1" x14ac:dyDescent="0.3">
      <c r="A24" s="13" t="s">
        <v>9</v>
      </c>
      <c r="B24" s="14" t="s">
        <v>20</v>
      </c>
      <c r="C24" s="12"/>
    </row>
    <row r="25" spans="1:5" ht="19.95" customHeight="1" x14ac:dyDescent="0.3">
      <c r="A25" s="13" t="s">
        <v>9</v>
      </c>
      <c r="B25" s="14" t="s">
        <v>21</v>
      </c>
      <c r="C25" s="12"/>
    </row>
    <row r="26" spans="1:5" ht="19.95" customHeight="1" x14ac:dyDescent="0.3">
      <c r="A26" s="13" t="s">
        <v>9</v>
      </c>
      <c r="B26" s="14" t="s">
        <v>22</v>
      </c>
      <c r="C26" s="12"/>
    </row>
    <row r="27" spans="1:5" ht="50.4" customHeight="1" x14ac:dyDescent="0.3">
      <c r="A27" s="13">
        <v>2</v>
      </c>
      <c r="B27" s="14" t="s">
        <v>23</v>
      </c>
      <c r="C27" s="12"/>
    </row>
    <row r="28" spans="1:5" ht="19.95" customHeight="1" x14ac:dyDescent="0.3">
      <c r="A28" s="13">
        <v>3</v>
      </c>
      <c r="B28" s="14" t="s">
        <v>24</v>
      </c>
      <c r="C28" s="12"/>
    </row>
    <row r="29" spans="1:5" ht="19.95" customHeight="1" x14ac:dyDescent="0.3">
      <c r="A29" s="7" t="s">
        <v>25</v>
      </c>
      <c r="B29" s="11" t="s">
        <v>26</v>
      </c>
      <c r="C29" s="12">
        <f>SUM(C30:C42)</f>
        <v>135290.36849500003</v>
      </c>
      <c r="E29" s="20"/>
    </row>
    <row r="30" spans="1:5" ht="19.95" customHeight="1" x14ac:dyDescent="0.3">
      <c r="A30" s="13" t="s">
        <v>9</v>
      </c>
      <c r="B30" s="14" t="s">
        <v>10</v>
      </c>
      <c r="C30" s="12">
        <f>'Biểu mẫu 02'!C14/1000000</f>
        <v>100591.21400000001</v>
      </c>
      <c r="E30" s="19"/>
    </row>
    <row r="31" spans="1:5" ht="19.95" customHeight="1" x14ac:dyDescent="0.3">
      <c r="A31" s="13" t="s">
        <v>9</v>
      </c>
      <c r="B31" s="14" t="s">
        <v>49</v>
      </c>
      <c r="C31" s="12"/>
      <c r="E31" s="20"/>
    </row>
    <row r="32" spans="1:5" ht="19.95" customHeight="1" x14ac:dyDescent="0.3">
      <c r="A32" s="13" t="s">
        <v>9</v>
      </c>
      <c r="B32" s="14" t="s">
        <v>12</v>
      </c>
      <c r="C32" s="12">
        <f>'Biểu mẫu 02'!O84/1000000</f>
        <v>404.64600000000002</v>
      </c>
    </row>
    <row r="33" spans="1:3" ht="19.95" customHeight="1" x14ac:dyDescent="0.3">
      <c r="A33" s="13" t="s">
        <v>9</v>
      </c>
      <c r="B33" s="14" t="s">
        <v>13</v>
      </c>
      <c r="C33" s="12">
        <f>'Biểu mẫu 02'!O78/1000000</f>
        <v>1460.777</v>
      </c>
    </row>
    <row r="34" spans="1:3" ht="19.95" customHeight="1" x14ac:dyDescent="0.3">
      <c r="A34" s="13" t="s">
        <v>9</v>
      </c>
      <c r="B34" s="14" t="s">
        <v>14</v>
      </c>
      <c r="C34" s="12"/>
    </row>
    <row r="35" spans="1:3" ht="19.95" customHeight="1" x14ac:dyDescent="0.3">
      <c r="A35" s="13" t="s">
        <v>9</v>
      </c>
      <c r="B35" s="14" t="s">
        <v>15</v>
      </c>
      <c r="C35" s="12">
        <f>'Biểu mẫu 02'!O25/1000000</f>
        <v>400.54599999999999</v>
      </c>
    </row>
    <row r="36" spans="1:3" ht="19.95" customHeight="1" x14ac:dyDescent="0.3">
      <c r="A36" s="13" t="s">
        <v>9</v>
      </c>
      <c r="B36" s="14" t="s">
        <v>16</v>
      </c>
      <c r="C36" s="12">
        <f>'Biểu mẫu 02'!O30/1000000</f>
        <v>96.617000000000004</v>
      </c>
    </row>
    <row r="37" spans="1:3" ht="19.95" customHeight="1" x14ac:dyDescent="0.3">
      <c r="A37" s="13" t="s">
        <v>9</v>
      </c>
      <c r="B37" s="14" t="s">
        <v>17</v>
      </c>
      <c r="C37" s="12">
        <f>'Biểu mẫu 02'!O35/1000000</f>
        <v>153.535</v>
      </c>
    </row>
    <row r="38" spans="1:3" ht="19.95" customHeight="1" x14ac:dyDescent="0.3">
      <c r="A38" s="13" t="s">
        <v>9</v>
      </c>
      <c r="B38" s="14" t="s">
        <v>18</v>
      </c>
      <c r="C38" s="12">
        <f>'Biểu mẫu 02'!O59/1000000</f>
        <v>161.49700000000001</v>
      </c>
    </row>
    <row r="39" spans="1:3" ht="19.95" customHeight="1" x14ac:dyDescent="0.3">
      <c r="A39" s="13" t="s">
        <v>9</v>
      </c>
      <c r="B39" s="14" t="s">
        <v>19</v>
      </c>
      <c r="C39" s="12">
        <f>'Biểu mẫu 02'!O51/1000000</f>
        <v>3256.8119999999999</v>
      </c>
    </row>
    <row r="40" spans="1:3" ht="32.4" customHeight="1" x14ac:dyDescent="0.3">
      <c r="A40" s="13" t="s">
        <v>9</v>
      </c>
      <c r="B40" s="14" t="s">
        <v>27</v>
      </c>
      <c r="C40" s="12">
        <f>'Biểu mẫu 02'!O64/1000000</f>
        <v>21971.572</v>
      </c>
    </row>
    <row r="41" spans="1:3" ht="19.95" customHeight="1" x14ac:dyDescent="0.3">
      <c r="A41" s="13" t="s">
        <v>9</v>
      </c>
      <c r="B41" s="14" t="s">
        <v>21</v>
      </c>
      <c r="C41" s="12">
        <f>'Biểu mẫu 02'!O40/1000000</f>
        <v>6663.5964949999998</v>
      </c>
    </row>
    <row r="42" spans="1:3" ht="19.95" customHeight="1" x14ac:dyDescent="0.3">
      <c r="A42" s="15"/>
      <c r="B42" s="14" t="s">
        <v>28</v>
      </c>
      <c r="C42" s="12">
        <f>'Biểu mẫu 02'!O89/1000000</f>
        <v>129.55600000000001</v>
      </c>
    </row>
    <row r="43" spans="1:3" ht="33.6" customHeight="1" x14ac:dyDescent="0.3">
      <c r="A43" s="7" t="s">
        <v>29</v>
      </c>
      <c r="B43" s="11" t="s">
        <v>52</v>
      </c>
      <c r="C43" s="12"/>
    </row>
    <row r="44" spans="1:3" ht="19.95" customHeight="1" x14ac:dyDescent="0.3">
      <c r="A44" s="7" t="s">
        <v>30</v>
      </c>
      <c r="B44" s="11" t="s">
        <v>51</v>
      </c>
      <c r="C44" s="12"/>
    </row>
    <row r="45" spans="1:3" ht="19.95" customHeight="1" x14ac:dyDescent="0.3">
      <c r="A45" s="7" t="s">
        <v>31</v>
      </c>
      <c r="B45" s="11" t="s">
        <v>32</v>
      </c>
      <c r="C45" s="12">
        <f>'Biểu mẫu 02'!O92/1000000</f>
        <v>520.81299999999999</v>
      </c>
    </row>
    <row r="46" spans="1:3" ht="19.95" customHeight="1" x14ac:dyDescent="0.3">
      <c r="A46" s="7" t="s">
        <v>33</v>
      </c>
      <c r="B46" s="11" t="s">
        <v>34</v>
      </c>
      <c r="C46" s="12"/>
    </row>
    <row r="47" spans="1:3" ht="19.95" customHeight="1" thickBot="1" x14ac:dyDescent="0.35">
      <c r="A47" s="16" t="s">
        <v>35</v>
      </c>
      <c r="B47" s="17" t="s">
        <v>36</v>
      </c>
      <c r="C47" s="18"/>
    </row>
    <row r="48" spans="1:3" ht="16.2" thickTop="1" x14ac:dyDescent="0.3"/>
  </sheetData>
  <mergeCells count="3">
    <mergeCell ref="E1:F1"/>
    <mergeCell ref="A3:C3"/>
    <mergeCell ref="A4:C4"/>
  </mergeCells>
  <pageMargins left="0.55000000000000004" right="0.36" top="0.45" bottom="0.75" header="0.3" footer="0.3"/>
  <pageSetup paperSize="9" orientation="portrait" verticalDpi="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97"/>
  <sheetViews>
    <sheetView zoomScale="115" zoomScaleNormal="115" workbookViewId="0">
      <selection activeCell="E104" sqref="E104"/>
    </sheetView>
  </sheetViews>
  <sheetFormatPr defaultColWidth="9.109375" defaultRowHeight="13.2" x14ac:dyDescent="0.25"/>
  <cols>
    <col min="1" max="1" width="4.44140625" style="59" customWidth="1"/>
    <col min="2" max="2" width="16.21875" style="60" customWidth="1"/>
    <col min="3" max="3" width="9.5546875" style="61" customWidth="1"/>
    <col min="4" max="4" width="10" style="61" customWidth="1"/>
    <col min="5" max="7" width="7.6640625" style="61" customWidth="1"/>
    <col min="8" max="8" width="6.6640625" style="61" customWidth="1"/>
    <col min="9" max="9" width="7" style="61" customWidth="1"/>
    <col min="10" max="10" width="7.6640625" style="61" customWidth="1"/>
    <col min="11" max="13" width="7" style="61" customWidth="1"/>
    <col min="14" max="14" width="6.5546875" style="61" customWidth="1"/>
    <col min="15" max="15" width="6.77734375" style="61" customWidth="1"/>
    <col min="16" max="16" width="9.109375" style="61" customWidth="1"/>
    <col min="17" max="18" width="7.6640625" style="61" customWidth="1"/>
    <col min="19" max="19" width="9.109375" style="62"/>
    <col min="20" max="20" width="16" style="62" bestFit="1" customWidth="1"/>
    <col min="21" max="16384" width="9.109375" style="62"/>
  </cols>
  <sheetData>
    <row r="1" spans="1:23" x14ac:dyDescent="0.25">
      <c r="O1" s="176" t="s">
        <v>158</v>
      </c>
      <c r="P1" s="176"/>
      <c r="Q1" s="176"/>
      <c r="R1" s="176"/>
      <c r="T1" s="175" t="s">
        <v>44</v>
      </c>
      <c r="U1" s="175"/>
      <c r="V1" s="175"/>
      <c r="W1" s="175"/>
    </row>
    <row r="2" spans="1:23" ht="7.8" customHeight="1" x14ac:dyDescent="0.25"/>
    <row r="3" spans="1:23" ht="19.8" customHeight="1" x14ac:dyDescent="0.25">
      <c r="A3" s="177" t="s">
        <v>53</v>
      </c>
      <c r="B3" s="178"/>
      <c r="C3" s="178"/>
      <c r="D3" s="178"/>
      <c r="E3" s="178"/>
      <c r="F3" s="178"/>
      <c r="G3" s="178"/>
      <c r="H3" s="178"/>
      <c r="I3" s="178"/>
      <c r="J3" s="178"/>
      <c r="K3" s="178"/>
      <c r="L3" s="178"/>
      <c r="M3" s="178"/>
      <c r="N3" s="178"/>
      <c r="O3" s="178"/>
      <c r="P3" s="178"/>
      <c r="Q3" s="178"/>
      <c r="R3" s="178"/>
    </row>
    <row r="4" spans="1:23" ht="16.8" x14ac:dyDescent="0.3">
      <c r="A4" s="179" t="str">
        <f>'Biểu mẫu 03'!A4:C4</f>
        <v>(Kèm theo Nghị quyết số:         /NQ-HNND ngày      /7/2025 của HĐND xã Sơn Hà)</v>
      </c>
      <c r="B4" s="179"/>
      <c r="C4" s="179"/>
      <c r="D4" s="179"/>
      <c r="E4" s="179"/>
      <c r="F4" s="179"/>
      <c r="G4" s="179"/>
      <c r="H4" s="179"/>
      <c r="I4" s="179"/>
      <c r="J4" s="179"/>
      <c r="K4" s="179"/>
      <c r="L4" s="179"/>
      <c r="M4" s="179"/>
      <c r="N4" s="179"/>
      <c r="O4" s="179"/>
      <c r="P4" s="179"/>
      <c r="Q4" s="179"/>
      <c r="R4" s="179"/>
    </row>
    <row r="5" spans="1:23" x14ac:dyDescent="0.25">
      <c r="A5" s="63"/>
    </row>
    <row r="6" spans="1:23" ht="13.8" thickBot="1" x14ac:dyDescent="0.3">
      <c r="P6" s="180" t="s">
        <v>0</v>
      </c>
      <c r="Q6" s="180"/>
      <c r="R6" s="180"/>
    </row>
    <row r="7" spans="1:23" ht="24.75" customHeight="1" thickTop="1" x14ac:dyDescent="0.25">
      <c r="A7" s="183" t="s">
        <v>1</v>
      </c>
      <c r="B7" s="185" t="s">
        <v>37</v>
      </c>
      <c r="C7" s="187" t="s">
        <v>38</v>
      </c>
      <c r="D7" s="181" t="s">
        <v>10</v>
      </c>
      <c r="E7" s="181" t="s">
        <v>11</v>
      </c>
      <c r="F7" s="181" t="s">
        <v>12</v>
      </c>
      <c r="G7" s="181" t="s">
        <v>13</v>
      </c>
      <c r="H7" s="181" t="s">
        <v>14</v>
      </c>
      <c r="I7" s="181" t="s">
        <v>15</v>
      </c>
      <c r="J7" s="181" t="s">
        <v>16</v>
      </c>
      <c r="K7" s="181" t="s">
        <v>17</v>
      </c>
      <c r="L7" s="181" t="s">
        <v>18</v>
      </c>
      <c r="M7" s="181" t="s">
        <v>19</v>
      </c>
      <c r="N7" s="181" t="s">
        <v>41</v>
      </c>
      <c r="O7" s="181"/>
      <c r="P7" s="181" t="s">
        <v>27</v>
      </c>
      <c r="Q7" s="181" t="s">
        <v>21</v>
      </c>
      <c r="R7" s="181" t="s">
        <v>28</v>
      </c>
    </row>
    <row r="8" spans="1:23" ht="114.6" customHeight="1" x14ac:dyDescent="0.25">
      <c r="A8" s="184"/>
      <c r="B8" s="186"/>
      <c r="C8" s="188"/>
      <c r="D8" s="182"/>
      <c r="E8" s="182"/>
      <c r="F8" s="182"/>
      <c r="G8" s="182"/>
      <c r="H8" s="182"/>
      <c r="I8" s="182"/>
      <c r="J8" s="182"/>
      <c r="K8" s="182"/>
      <c r="L8" s="182"/>
      <c r="M8" s="182"/>
      <c r="N8" s="106" t="s">
        <v>42</v>
      </c>
      <c r="O8" s="106" t="s">
        <v>43</v>
      </c>
      <c r="P8" s="182"/>
      <c r="Q8" s="182"/>
      <c r="R8" s="182"/>
      <c r="T8" s="64"/>
    </row>
    <row r="9" spans="1:23" s="66" customFormat="1" x14ac:dyDescent="0.25">
      <c r="A9" s="129" t="s">
        <v>4</v>
      </c>
      <c r="B9" s="130" t="s">
        <v>5</v>
      </c>
      <c r="C9" s="65">
        <v>1</v>
      </c>
      <c r="D9" s="130">
        <v>2</v>
      </c>
      <c r="E9" s="130">
        <v>3</v>
      </c>
      <c r="F9" s="130">
        <v>4</v>
      </c>
      <c r="G9" s="130">
        <v>5</v>
      </c>
      <c r="H9" s="130">
        <v>6</v>
      </c>
      <c r="I9" s="130">
        <v>7</v>
      </c>
      <c r="J9" s="130">
        <v>8</v>
      </c>
      <c r="K9" s="130">
        <v>9</v>
      </c>
      <c r="L9" s="130">
        <v>10</v>
      </c>
      <c r="M9" s="130">
        <v>11</v>
      </c>
      <c r="N9" s="130">
        <v>12</v>
      </c>
      <c r="O9" s="130">
        <v>13</v>
      </c>
      <c r="P9" s="130">
        <v>14</v>
      </c>
      <c r="Q9" s="130">
        <v>15</v>
      </c>
      <c r="R9" s="130">
        <v>16</v>
      </c>
    </row>
    <row r="10" spans="1:23" s="69" customFormat="1" ht="31.8" customHeight="1" x14ac:dyDescent="0.25">
      <c r="A10" s="67"/>
      <c r="B10" s="68" t="s">
        <v>319</v>
      </c>
      <c r="C10" s="68">
        <f t="shared" ref="C10:R10" si="0">C11+C95</f>
        <v>135811.18149600003</v>
      </c>
      <c r="D10" s="68">
        <f t="shared" si="0"/>
        <v>100591.21400000001</v>
      </c>
      <c r="E10" s="68">
        <f t="shared" si="0"/>
        <v>0</v>
      </c>
      <c r="F10" s="68">
        <f t="shared" si="0"/>
        <v>404.64599999999996</v>
      </c>
      <c r="G10" s="68">
        <f t="shared" si="0"/>
        <v>1460.777</v>
      </c>
      <c r="H10" s="68">
        <f t="shared" si="0"/>
        <v>0</v>
      </c>
      <c r="I10" s="68">
        <f t="shared" si="0"/>
        <v>400.54599999999994</v>
      </c>
      <c r="J10" s="68">
        <f t="shared" si="0"/>
        <v>96.61699999999999</v>
      </c>
      <c r="K10" s="68">
        <f t="shared" si="0"/>
        <v>153.535</v>
      </c>
      <c r="L10" s="68">
        <f t="shared" si="0"/>
        <v>161.49699999999999</v>
      </c>
      <c r="M10" s="68">
        <f t="shared" si="0"/>
        <v>3256.8120000000004</v>
      </c>
      <c r="N10" s="68">
        <f t="shared" si="0"/>
        <v>0</v>
      </c>
      <c r="O10" s="68">
        <f t="shared" si="0"/>
        <v>0</v>
      </c>
      <c r="P10" s="68">
        <f t="shared" si="0"/>
        <v>22492.385000999995</v>
      </c>
      <c r="Q10" s="68">
        <f t="shared" si="0"/>
        <v>6663.5964949999998</v>
      </c>
      <c r="R10" s="68">
        <f t="shared" si="0"/>
        <v>129.55600000000001</v>
      </c>
      <c r="T10" s="69">
        <f>'Biểu số 01'!C27/1000000</f>
        <v>135811.18149472942</v>
      </c>
      <c r="U10" s="69">
        <f>C10-T10</f>
        <v>1.27061503008008E-6</v>
      </c>
    </row>
    <row r="11" spans="1:23" ht="26.4" x14ac:dyDescent="0.25">
      <c r="A11" s="107" t="s">
        <v>4</v>
      </c>
      <c r="B11" s="70" t="s">
        <v>320</v>
      </c>
      <c r="C11" s="71">
        <f t="shared" ref="C11:R11" si="1">C12+C18+C24+C30+C31+C32+C37+C42+C45+C48+C75+C79</f>
        <v>135290.36849600004</v>
      </c>
      <c r="D11" s="71">
        <f t="shared" si="1"/>
        <v>100591.21400000001</v>
      </c>
      <c r="E11" s="71">
        <f t="shared" si="1"/>
        <v>0</v>
      </c>
      <c r="F11" s="71">
        <f t="shared" si="1"/>
        <v>404.64599999999996</v>
      </c>
      <c r="G11" s="71">
        <f t="shared" si="1"/>
        <v>1460.777</v>
      </c>
      <c r="H11" s="71">
        <f t="shared" si="1"/>
        <v>0</v>
      </c>
      <c r="I11" s="71">
        <f t="shared" si="1"/>
        <v>400.54599999999994</v>
      </c>
      <c r="J11" s="71">
        <f t="shared" si="1"/>
        <v>96.61699999999999</v>
      </c>
      <c r="K11" s="71">
        <f t="shared" si="1"/>
        <v>153.535</v>
      </c>
      <c r="L11" s="71">
        <f t="shared" si="1"/>
        <v>161.49699999999999</v>
      </c>
      <c r="M11" s="71">
        <f t="shared" si="1"/>
        <v>3256.8120000000004</v>
      </c>
      <c r="N11" s="71">
        <f t="shared" si="1"/>
        <v>0</v>
      </c>
      <c r="O11" s="71">
        <f t="shared" si="1"/>
        <v>0</v>
      </c>
      <c r="P11" s="71">
        <f t="shared" si="1"/>
        <v>21971.572000999997</v>
      </c>
      <c r="Q11" s="71">
        <f t="shared" si="1"/>
        <v>6663.5964949999998</v>
      </c>
      <c r="R11" s="71">
        <f t="shared" si="1"/>
        <v>129.55600000000001</v>
      </c>
      <c r="T11" s="64">
        <f>C10-T10</f>
        <v>1.27061503008008E-6</v>
      </c>
    </row>
    <row r="12" spans="1:23" s="74" customFormat="1" ht="19.8" customHeight="1" x14ac:dyDescent="0.25">
      <c r="A12" s="107" t="s">
        <v>7</v>
      </c>
      <c r="B12" s="70" t="s">
        <v>54</v>
      </c>
      <c r="C12" s="72">
        <f>C13</f>
        <v>22252.025000000001</v>
      </c>
      <c r="D12" s="72">
        <f>D13</f>
        <v>22252.025000000001</v>
      </c>
      <c r="E12" s="72">
        <f t="shared" ref="E12:R12" si="2">E13</f>
        <v>0</v>
      </c>
      <c r="F12" s="72">
        <f t="shared" si="2"/>
        <v>0</v>
      </c>
      <c r="G12" s="72">
        <f t="shared" si="2"/>
        <v>0</v>
      </c>
      <c r="H12" s="72">
        <f t="shared" si="2"/>
        <v>0</v>
      </c>
      <c r="I12" s="72">
        <f t="shared" si="2"/>
        <v>0</v>
      </c>
      <c r="J12" s="72">
        <f t="shared" si="2"/>
        <v>0</v>
      </c>
      <c r="K12" s="72">
        <f t="shared" si="2"/>
        <v>0</v>
      </c>
      <c r="L12" s="72">
        <f t="shared" si="2"/>
        <v>0</v>
      </c>
      <c r="M12" s="72">
        <f t="shared" si="2"/>
        <v>0</v>
      </c>
      <c r="N12" s="72">
        <f t="shared" si="2"/>
        <v>0</v>
      </c>
      <c r="O12" s="72">
        <f t="shared" si="2"/>
        <v>0</v>
      </c>
      <c r="P12" s="72">
        <f t="shared" si="2"/>
        <v>0</v>
      </c>
      <c r="Q12" s="72">
        <f t="shared" si="2"/>
        <v>0</v>
      </c>
      <c r="R12" s="72">
        <f t="shared" si="2"/>
        <v>0</v>
      </c>
      <c r="S12" s="73"/>
    </row>
    <row r="13" spans="1:23" s="74" customFormat="1" ht="26.4" x14ac:dyDescent="0.25">
      <c r="A13" s="107"/>
      <c r="B13" s="70" t="s">
        <v>55</v>
      </c>
      <c r="C13" s="72">
        <f>SUM(C14:C17)</f>
        <v>22252.025000000001</v>
      </c>
      <c r="D13" s="72">
        <f>SUM(D14:D17)</f>
        <v>22252.025000000001</v>
      </c>
      <c r="E13" s="72">
        <f t="shared" ref="E13:R13" si="3">SUM(E14:E17)</f>
        <v>0</v>
      </c>
      <c r="F13" s="72">
        <f t="shared" si="3"/>
        <v>0</v>
      </c>
      <c r="G13" s="72">
        <f t="shared" si="3"/>
        <v>0</v>
      </c>
      <c r="H13" s="72">
        <f t="shared" si="3"/>
        <v>0</v>
      </c>
      <c r="I13" s="72">
        <f t="shared" si="3"/>
        <v>0</v>
      </c>
      <c r="J13" s="72">
        <f t="shared" si="3"/>
        <v>0</v>
      </c>
      <c r="K13" s="72">
        <f t="shared" si="3"/>
        <v>0</v>
      </c>
      <c r="L13" s="72">
        <f t="shared" si="3"/>
        <v>0</v>
      </c>
      <c r="M13" s="72">
        <f t="shared" si="3"/>
        <v>0</v>
      </c>
      <c r="N13" s="72">
        <f t="shared" si="3"/>
        <v>0</v>
      </c>
      <c r="O13" s="72">
        <f t="shared" si="3"/>
        <v>0</v>
      </c>
      <c r="P13" s="72">
        <f t="shared" si="3"/>
        <v>0</v>
      </c>
      <c r="Q13" s="72">
        <f t="shared" si="3"/>
        <v>0</v>
      </c>
      <c r="R13" s="72">
        <f t="shared" si="3"/>
        <v>0</v>
      </c>
    </row>
    <row r="14" spans="1:23" ht="26.4" x14ac:dyDescent="0.25">
      <c r="A14" s="75">
        <v>1</v>
      </c>
      <c r="B14" s="76" t="s">
        <v>56</v>
      </c>
      <c r="C14" s="71">
        <f>SUM(D14:R14)</f>
        <v>5578.6070000000009</v>
      </c>
      <c r="D14" s="71">
        <v>5578.6070000000009</v>
      </c>
      <c r="E14" s="71"/>
      <c r="F14" s="71"/>
      <c r="G14" s="71"/>
      <c r="H14" s="71"/>
      <c r="I14" s="71"/>
      <c r="J14" s="71"/>
      <c r="K14" s="71"/>
      <c r="L14" s="71"/>
      <c r="M14" s="71"/>
      <c r="N14" s="71"/>
      <c r="O14" s="71"/>
      <c r="P14" s="71"/>
      <c r="Q14" s="71"/>
      <c r="R14" s="71"/>
    </row>
    <row r="15" spans="1:23" ht="26.4" x14ac:dyDescent="0.25">
      <c r="A15" s="75">
        <v>2</v>
      </c>
      <c r="B15" s="77" t="s">
        <v>57</v>
      </c>
      <c r="C15" s="71">
        <f t="shared" ref="C15:C81" si="4">SUM(D15:R15)</f>
        <v>7224.6230000000005</v>
      </c>
      <c r="D15" s="71">
        <v>7224.6230000000005</v>
      </c>
      <c r="E15" s="71"/>
      <c r="F15" s="71"/>
      <c r="G15" s="71"/>
      <c r="H15" s="71"/>
      <c r="I15" s="71"/>
      <c r="J15" s="71"/>
      <c r="K15" s="71"/>
      <c r="L15" s="71"/>
      <c r="M15" s="71"/>
      <c r="N15" s="71"/>
      <c r="O15" s="71"/>
      <c r="P15" s="71"/>
      <c r="Q15" s="71"/>
      <c r="R15" s="71"/>
    </row>
    <row r="16" spans="1:23" ht="26.4" x14ac:dyDescent="0.25">
      <c r="A16" s="75">
        <v>3</v>
      </c>
      <c r="B16" s="76" t="s">
        <v>58</v>
      </c>
      <c r="C16" s="71">
        <f t="shared" si="4"/>
        <v>4760.2889999999998</v>
      </c>
      <c r="D16" s="71">
        <v>4760.2889999999998</v>
      </c>
      <c r="E16" s="71"/>
      <c r="F16" s="71"/>
      <c r="G16" s="71"/>
      <c r="H16" s="71"/>
      <c r="I16" s="71"/>
      <c r="J16" s="71"/>
      <c r="K16" s="71"/>
      <c r="L16" s="71"/>
      <c r="M16" s="71"/>
      <c r="N16" s="71"/>
      <c r="O16" s="71"/>
      <c r="P16" s="71"/>
      <c r="Q16" s="71"/>
      <c r="R16" s="71"/>
    </row>
    <row r="17" spans="1:20" ht="26.4" x14ac:dyDescent="0.25">
      <c r="A17" s="75">
        <v>4</v>
      </c>
      <c r="B17" s="78" t="s">
        <v>59</v>
      </c>
      <c r="C17" s="71">
        <f t="shared" si="4"/>
        <v>4688.5060000000003</v>
      </c>
      <c r="D17" s="71">
        <v>4688.5060000000003</v>
      </c>
      <c r="E17" s="71"/>
      <c r="F17" s="71"/>
      <c r="G17" s="71"/>
      <c r="H17" s="71"/>
      <c r="I17" s="71"/>
      <c r="J17" s="71"/>
      <c r="K17" s="71"/>
      <c r="L17" s="71"/>
      <c r="M17" s="71"/>
      <c r="N17" s="71"/>
      <c r="O17" s="71"/>
      <c r="P17" s="71"/>
      <c r="Q17" s="71"/>
      <c r="R17" s="71"/>
    </row>
    <row r="18" spans="1:20" s="74" customFormat="1" ht="17.399999999999999" customHeight="1" x14ac:dyDescent="0.25">
      <c r="A18" s="107" t="s">
        <v>25</v>
      </c>
      <c r="B18" s="70" t="s">
        <v>60</v>
      </c>
      <c r="C18" s="71">
        <f t="shared" si="4"/>
        <v>36896.733999999997</v>
      </c>
      <c r="D18" s="72">
        <f>D19</f>
        <v>36896.733999999997</v>
      </c>
      <c r="E18" s="72">
        <f t="shared" ref="E18:R18" si="5">E19</f>
        <v>0</v>
      </c>
      <c r="F18" s="72">
        <f t="shared" si="5"/>
        <v>0</v>
      </c>
      <c r="G18" s="72">
        <f t="shared" si="5"/>
        <v>0</v>
      </c>
      <c r="H18" s="72">
        <f t="shared" si="5"/>
        <v>0</v>
      </c>
      <c r="I18" s="72">
        <f t="shared" si="5"/>
        <v>0</v>
      </c>
      <c r="J18" s="72">
        <f t="shared" si="5"/>
        <v>0</v>
      </c>
      <c r="K18" s="72">
        <f t="shared" si="5"/>
        <v>0</v>
      </c>
      <c r="L18" s="72">
        <f t="shared" si="5"/>
        <v>0</v>
      </c>
      <c r="M18" s="72">
        <f t="shared" si="5"/>
        <v>0</v>
      </c>
      <c r="N18" s="72">
        <f t="shared" si="5"/>
        <v>0</v>
      </c>
      <c r="O18" s="72">
        <f t="shared" si="5"/>
        <v>0</v>
      </c>
      <c r="P18" s="72">
        <f t="shared" si="5"/>
        <v>0</v>
      </c>
      <c r="Q18" s="72">
        <f t="shared" si="5"/>
        <v>0</v>
      </c>
      <c r="R18" s="72">
        <f t="shared" si="5"/>
        <v>0</v>
      </c>
    </row>
    <row r="19" spans="1:20" s="74" customFormat="1" ht="22.2" customHeight="1" x14ac:dyDescent="0.25">
      <c r="A19" s="107"/>
      <c r="B19" s="70" t="s">
        <v>55</v>
      </c>
      <c r="C19" s="71">
        <f t="shared" si="4"/>
        <v>36896.733999999997</v>
      </c>
      <c r="D19" s="72">
        <f>SUM(D20:D23)</f>
        <v>36896.733999999997</v>
      </c>
      <c r="E19" s="72">
        <f t="shared" ref="E19:R19" si="6">SUM(E20:E23)</f>
        <v>0</v>
      </c>
      <c r="F19" s="72">
        <f t="shared" si="6"/>
        <v>0</v>
      </c>
      <c r="G19" s="72">
        <f t="shared" si="6"/>
        <v>0</v>
      </c>
      <c r="H19" s="72">
        <f t="shared" si="6"/>
        <v>0</v>
      </c>
      <c r="I19" s="72">
        <f t="shared" si="6"/>
        <v>0</v>
      </c>
      <c r="J19" s="72">
        <f t="shared" si="6"/>
        <v>0</v>
      </c>
      <c r="K19" s="72">
        <f t="shared" si="6"/>
        <v>0</v>
      </c>
      <c r="L19" s="72">
        <f t="shared" si="6"/>
        <v>0</v>
      </c>
      <c r="M19" s="72">
        <f t="shared" si="6"/>
        <v>0</v>
      </c>
      <c r="N19" s="72">
        <f t="shared" si="6"/>
        <v>0</v>
      </c>
      <c r="O19" s="72">
        <f t="shared" si="6"/>
        <v>0</v>
      </c>
      <c r="P19" s="72">
        <f t="shared" si="6"/>
        <v>0</v>
      </c>
      <c r="Q19" s="72">
        <f t="shared" si="6"/>
        <v>0</v>
      </c>
      <c r="R19" s="72">
        <f t="shared" si="6"/>
        <v>0</v>
      </c>
    </row>
    <row r="20" spans="1:20" ht="27" customHeight="1" x14ac:dyDescent="0.25">
      <c r="A20" s="75">
        <v>5</v>
      </c>
      <c r="B20" s="77" t="s">
        <v>61</v>
      </c>
      <c r="C20" s="71">
        <f t="shared" si="4"/>
        <v>8865.2820000000011</v>
      </c>
      <c r="D20" s="71">
        <v>8865.2820000000011</v>
      </c>
      <c r="E20" s="71"/>
      <c r="F20" s="71"/>
      <c r="G20" s="71"/>
      <c r="H20" s="71"/>
      <c r="I20" s="71"/>
      <c r="J20" s="71"/>
      <c r="K20" s="71"/>
      <c r="L20" s="71"/>
      <c r="M20" s="71"/>
      <c r="N20" s="71"/>
      <c r="O20" s="71"/>
      <c r="P20" s="71"/>
      <c r="Q20" s="71"/>
      <c r="R20" s="71"/>
    </row>
    <row r="21" spans="1:20" ht="26.4" x14ac:dyDescent="0.25">
      <c r="A21" s="75">
        <v>6</v>
      </c>
      <c r="B21" s="76" t="s">
        <v>62</v>
      </c>
      <c r="C21" s="71">
        <f t="shared" si="4"/>
        <v>8460.134</v>
      </c>
      <c r="D21" s="71">
        <v>8460.134</v>
      </c>
      <c r="E21" s="71"/>
      <c r="F21" s="71"/>
      <c r="G21" s="71"/>
      <c r="H21" s="71"/>
      <c r="I21" s="71"/>
      <c r="J21" s="71"/>
      <c r="K21" s="71"/>
      <c r="L21" s="71"/>
      <c r="M21" s="71"/>
      <c r="N21" s="71"/>
      <c r="O21" s="71"/>
      <c r="P21" s="71"/>
      <c r="Q21" s="71"/>
      <c r="R21" s="71"/>
    </row>
    <row r="22" spans="1:20" ht="26.4" x14ac:dyDescent="0.25">
      <c r="A22" s="75">
        <v>7</v>
      </c>
      <c r="B22" s="76" t="s">
        <v>63</v>
      </c>
      <c r="C22" s="71">
        <f t="shared" si="4"/>
        <v>9745.2799999999988</v>
      </c>
      <c r="D22" s="71">
        <v>9745.2799999999988</v>
      </c>
      <c r="E22" s="71"/>
      <c r="F22" s="71"/>
      <c r="G22" s="71"/>
      <c r="H22" s="71"/>
      <c r="I22" s="71"/>
      <c r="J22" s="71"/>
      <c r="K22" s="71"/>
      <c r="L22" s="71"/>
      <c r="M22" s="71"/>
      <c r="N22" s="71"/>
      <c r="O22" s="71"/>
      <c r="P22" s="71"/>
      <c r="Q22" s="71"/>
      <c r="R22" s="71"/>
    </row>
    <row r="23" spans="1:20" ht="26.4" x14ac:dyDescent="0.25">
      <c r="A23" s="75">
        <v>8</v>
      </c>
      <c r="B23" s="79" t="s">
        <v>64</v>
      </c>
      <c r="C23" s="71">
        <f t="shared" si="4"/>
        <v>9826.0380000000005</v>
      </c>
      <c r="D23" s="71">
        <v>9826.0380000000005</v>
      </c>
      <c r="E23" s="71"/>
      <c r="F23" s="71"/>
      <c r="G23" s="71"/>
      <c r="H23" s="71"/>
      <c r="I23" s="71"/>
      <c r="J23" s="71"/>
      <c r="K23" s="71"/>
      <c r="L23" s="71"/>
      <c r="M23" s="71"/>
      <c r="N23" s="71"/>
      <c r="O23" s="71"/>
      <c r="P23" s="71"/>
      <c r="Q23" s="71"/>
      <c r="R23" s="71"/>
    </row>
    <row r="24" spans="1:20" s="74" customFormat="1" ht="19.2" customHeight="1" x14ac:dyDescent="0.25">
      <c r="A24" s="107" t="s">
        <v>29</v>
      </c>
      <c r="B24" s="70" t="s">
        <v>65</v>
      </c>
      <c r="C24" s="71">
        <f t="shared" si="4"/>
        <v>41442.455000000002</v>
      </c>
      <c r="D24" s="72">
        <f>D25</f>
        <v>41442.455000000002</v>
      </c>
      <c r="E24" s="72">
        <f t="shared" ref="E24:R24" si="7">E25</f>
        <v>0</v>
      </c>
      <c r="F24" s="72">
        <f t="shared" si="7"/>
        <v>0</v>
      </c>
      <c r="G24" s="72">
        <f t="shared" si="7"/>
        <v>0</v>
      </c>
      <c r="H24" s="72">
        <f t="shared" si="7"/>
        <v>0</v>
      </c>
      <c r="I24" s="72">
        <f t="shared" si="7"/>
        <v>0</v>
      </c>
      <c r="J24" s="72">
        <f t="shared" si="7"/>
        <v>0</v>
      </c>
      <c r="K24" s="72">
        <f t="shared" si="7"/>
        <v>0</v>
      </c>
      <c r="L24" s="72">
        <f t="shared" si="7"/>
        <v>0</v>
      </c>
      <c r="M24" s="72">
        <f t="shared" si="7"/>
        <v>0</v>
      </c>
      <c r="N24" s="72">
        <f t="shared" si="7"/>
        <v>0</v>
      </c>
      <c r="O24" s="72">
        <f t="shared" si="7"/>
        <v>0</v>
      </c>
      <c r="P24" s="72">
        <f t="shared" si="7"/>
        <v>0</v>
      </c>
      <c r="Q24" s="72">
        <f t="shared" si="7"/>
        <v>0</v>
      </c>
      <c r="R24" s="72">
        <f t="shared" si="7"/>
        <v>0</v>
      </c>
    </row>
    <row r="25" spans="1:20" s="74" customFormat="1" ht="19.8" customHeight="1" x14ac:dyDescent="0.25">
      <c r="A25" s="107"/>
      <c r="B25" s="70" t="s">
        <v>55</v>
      </c>
      <c r="C25" s="71">
        <f t="shared" si="4"/>
        <v>41442.455000000002</v>
      </c>
      <c r="D25" s="72">
        <f t="shared" ref="D25:R25" si="8">SUM(D26:D29)</f>
        <v>41442.455000000002</v>
      </c>
      <c r="E25" s="72">
        <f t="shared" si="8"/>
        <v>0</v>
      </c>
      <c r="F25" s="72">
        <f t="shared" si="8"/>
        <v>0</v>
      </c>
      <c r="G25" s="72">
        <f t="shared" si="8"/>
        <v>0</v>
      </c>
      <c r="H25" s="72">
        <f t="shared" si="8"/>
        <v>0</v>
      </c>
      <c r="I25" s="72">
        <f t="shared" si="8"/>
        <v>0</v>
      </c>
      <c r="J25" s="72">
        <f t="shared" si="8"/>
        <v>0</v>
      </c>
      <c r="K25" s="72">
        <f t="shared" si="8"/>
        <v>0</v>
      </c>
      <c r="L25" s="72">
        <f t="shared" si="8"/>
        <v>0</v>
      </c>
      <c r="M25" s="72">
        <f t="shared" si="8"/>
        <v>0</v>
      </c>
      <c r="N25" s="72">
        <f t="shared" si="8"/>
        <v>0</v>
      </c>
      <c r="O25" s="72">
        <f t="shared" si="8"/>
        <v>0</v>
      </c>
      <c r="P25" s="72">
        <f t="shared" si="8"/>
        <v>0</v>
      </c>
      <c r="Q25" s="72">
        <f t="shared" si="8"/>
        <v>0</v>
      </c>
      <c r="R25" s="72">
        <f t="shared" si="8"/>
        <v>0</v>
      </c>
    </row>
    <row r="26" spans="1:20" ht="26.4" x14ac:dyDescent="0.25">
      <c r="A26" s="75">
        <v>9</v>
      </c>
      <c r="B26" s="76" t="s">
        <v>66</v>
      </c>
      <c r="C26" s="71">
        <f t="shared" si="4"/>
        <v>10764.246999999999</v>
      </c>
      <c r="D26" s="71">
        <v>10764.246999999999</v>
      </c>
      <c r="E26" s="71"/>
      <c r="F26" s="71"/>
      <c r="G26" s="71"/>
      <c r="H26" s="71"/>
      <c r="I26" s="71"/>
      <c r="J26" s="71"/>
      <c r="K26" s="71"/>
      <c r="L26" s="71"/>
      <c r="M26" s="71"/>
      <c r="N26" s="71"/>
      <c r="O26" s="71"/>
      <c r="P26" s="71"/>
      <c r="Q26" s="71"/>
      <c r="R26" s="71"/>
    </row>
    <row r="27" spans="1:20" ht="26.4" x14ac:dyDescent="0.25">
      <c r="A27" s="75">
        <v>10</v>
      </c>
      <c r="B27" s="76" t="s">
        <v>67</v>
      </c>
      <c r="C27" s="71">
        <f t="shared" si="4"/>
        <v>15108.179</v>
      </c>
      <c r="D27" s="71">
        <v>15108.179</v>
      </c>
      <c r="E27" s="71"/>
      <c r="F27" s="71"/>
      <c r="G27" s="71"/>
      <c r="H27" s="71"/>
      <c r="I27" s="71"/>
      <c r="J27" s="71"/>
      <c r="K27" s="71"/>
      <c r="L27" s="71"/>
      <c r="M27" s="71"/>
      <c r="N27" s="71"/>
      <c r="O27" s="71"/>
      <c r="P27" s="71"/>
      <c r="Q27" s="71"/>
      <c r="R27" s="71"/>
    </row>
    <row r="28" spans="1:20" ht="26.4" x14ac:dyDescent="0.25">
      <c r="A28" s="75">
        <v>11</v>
      </c>
      <c r="B28" s="76" t="s">
        <v>68</v>
      </c>
      <c r="C28" s="71">
        <f t="shared" si="4"/>
        <v>6721.5309999999999</v>
      </c>
      <c r="D28" s="71">
        <v>6721.5309999999999</v>
      </c>
      <c r="E28" s="71"/>
      <c r="F28" s="71"/>
      <c r="G28" s="71"/>
      <c r="H28" s="71"/>
      <c r="I28" s="71"/>
      <c r="J28" s="71"/>
      <c r="K28" s="71"/>
      <c r="L28" s="71"/>
      <c r="M28" s="71"/>
      <c r="N28" s="71"/>
      <c r="O28" s="71"/>
      <c r="P28" s="71"/>
      <c r="Q28" s="71"/>
      <c r="R28" s="71"/>
    </row>
    <row r="29" spans="1:20" ht="26.4" x14ac:dyDescent="0.25">
      <c r="A29" s="75">
        <v>12</v>
      </c>
      <c r="B29" s="76" t="s">
        <v>64</v>
      </c>
      <c r="C29" s="71">
        <f t="shared" si="4"/>
        <v>8848.4979999999996</v>
      </c>
      <c r="D29" s="71">
        <v>8848.4979999999996</v>
      </c>
      <c r="E29" s="71"/>
      <c r="F29" s="71"/>
      <c r="G29" s="71"/>
      <c r="H29" s="71"/>
      <c r="I29" s="71"/>
      <c r="J29" s="71"/>
      <c r="K29" s="71"/>
      <c r="L29" s="71"/>
      <c r="M29" s="71"/>
      <c r="N29" s="71"/>
      <c r="O29" s="71"/>
      <c r="P29" s="71"/>
      <c r="Q29" s="71"/>
      <c r="R29" s="71"/>
    </row>
    <row r="30" spans="1:20" ht="24" customHeight="1" x14ac:dyDescent="0.25">
      <c r="A30" s="131" t="s">
        <v>30</v>
      </c>
      <c r="B30" s="70" t="s">
        <v>69</v>
      </c>
      <c r="C30" s="71">
        <f t="shared" si="4"/>
        <v>3861.8224</v>
      </c>
      <c r="D30" s="71"/>
      <c r="E30" s="71"/>
      <c r="F30" s="71"/>
      <c r="G30" s="71"/>
      <c r="H30" s="71"/>
      <c r="I30" s="71"/>
      <c r="J30" s="71"/>
      <c r="K30" s="71"/>
      <c r="L30" s="71"/>
      <c r="M30" s="71"/>
      <c r="N30" s="71"/>
      <c r="O30" s="71"/>
      <c r="P30" s="71">
        <f>'Phụ biểu 01'!F30/1000000</f>
        <v>3861.8224</v>
      </c>
      <c r="Q30" s="71"/>
      <c r="R30" s="71"/>
      <c r="T30" s="64">
        <f>P10-P11</f>
        <v>520.81299999999828</v>
      </c>
    </row>
    <row r="31" spans="1:20" ht="39.6" x14ac:dyDescent="0.25">
      <c r="A31" s="131" t="s">
        <v>31</v>
      </c>
      <c r="B31" s="70" t="s">
        <v>70</v>
      </c>
      <c r="C31" s="71">
        <f t="shared" si="4"/>
        <v>4985.5229300000001</v>
      </c>
      <c r="D31" s="71"/>
      <c r="E31" s="71"/>
      <c r="F31" s="71"/>
      <c r="G31" s="71"/>
      <c r="H31" s="71"/>
      <c r="I31" s="71"/>
      <c r="J31" s="71"/>
      <c r="K31" s="71"/>
      <c r="L31" s="71"/>
      <c r="M31" s="71"/>
      <c r="N31" s="71"/>
      <c r="O31" s="71"/>
      <c r="P31" s="71">
        <f>('Phụ biểu 01'!F39+'Phụ biểu 01'!F44+'Phụ biểu 01'!F49+'Phụ biểu 01'!F54+'Phụ biểu 01'!F59)/1000000</f>
        <v>4985.5229300000001</v>
      </c>
      <c r="Q31" s="71"/>
      <c r="R31" s="71"/>
      <c r="T31" s="81">
        <f>'Biểu mẫu 02'!O64/1000000-'Biểu mẫu 04'!P11</f>
        <v>-9.9999670055694878E-7</v>
      </c>
    </row>
    <row r="32" spans="1:20" ht="16.2" customHeight="1" x14ac:dyDescent="0.25">
      <c r="A32" s="80" t="s">
        <v>33</v>
      </c>
      <c r="B32" s="70" t="s">
        <v>83</v>
      </c>
      <c r="C32" s="71">
        <f t="shared" si="4"/>
        <v>1518.5327540000001</v>
      </c>
      <c r="D32" s="71">
        <f t="shared" ref="D32:R32" si="9">SUM(D33:D36)</f>
        <v>0</v>
      </c>
      <c r="E32" s="71">
        <f t="shared" si="9"/>
        <v>0</v>
      </c>
      <c r="F32" s="71">
        <f t="shared" si="9"/>
        <v>0</v>
      </c>
      <c r="G32" s="71">
        <f t="shared" si="9"/>
        <v>1442.6577540000001</v>
      </c>
      <c r="H32" s="71">
        <f t="shared" si="9"/>
        <v>0</v>
      </c>
      <c r="I32" s="71">
        <f t="shared" si="9"/>
        <v>0</v>
      </c>
      <c r="J32" s="71">
        <f t="shared" si="9"/>
        <v>0</v>
      </c>
      <c r="K32" s="71">
        <f t="shared" si="9"/>
        <v>0</v>
      </c>
      <c r="L32" s="71">
        <f t="shared" si="9"/>
        <v>0</v>
      </c>
      <c r="M32" s="71">
        <f t="shared" si="9"/>
        <v>0</v>
      </c>
      <c r="N32" s="71">
        <f t="shared" si="9"/>
        <v>0</v>
      </c>
      <c r="O32" s="71">
        <f t="shared" si="9"/>
        <v>0</v>
      </c>
      <c r="P32" s="71">
        <f t="shared" si="9"/>
        <v>75.875</v>
      </c>
      <c r="Q32" s="71">
        <f t="shared" si="9"/>
        <v>0</v>
      </c>
      <c r="R32" s="71">
        <f t="shared" si="9"/>
        <v>0</v>
      </c>
    </row>
    <row r="33" spans="1:19" ht="18.600000000000001" customHeight="1" x14ac:dyDescent="0.25">
      <c r="A33" s="82"/>
      <c r="B33" s="83" t="s">
        <v>209</v>
      </c>
      <c r="C33" s="71">
        <f t="shared" si="4"/>
        <v>190.102754</v>
      </c>
      <c r="D33" s="71"/>
      <c r="E33" s="71"/>
      <c r="G33" s="71">
        <f>'Biểu mẫu 02'!O79/1000000</f>
        <v>190.102754</v>
      </c>
      <c r="H33" s="71"/>
      <c r="I33" s="71"/>
      <c r="J33" s="71"/>
      <c r="K33" s="71"/>
      <c r="L33" s="71"/>
      <c r="M33" s="71"/>
      <c r="N33" s="71"/>
      <c r="O33" s="71"/>
      <c r="P33" s="71"/>
      <c r="Q33" s="71"/>
      <c r="R33" s="71"/>
    </row>
    <row r="34" spans="1:19" ht="26.4" x14ac:dyDescent="0.25">
      <c r="A34" s="82"/>
      <c r="B34" s="108" t="s">
        <v>197</v>
      </c>
      <c r="C34" s="71">
        <f t="shared" si="4"/>
        <v>15</v>
      </c>
      <c r="D34" s="71"/>
      <c r="E34" s="71"/>
      <c r="G34" s="71">
        <f>'Biểu mẫu 02'!O82/1000000</f>
        <v>15</v>
      </c>
      <c r="H34" s="71"/>
      <c r="I34" s="71"/>
      <c r="J34" s="71"/>
      <c r="K34" s="71"/>
      <c r="L34" s="71"/>
      <c r="M34" s="71"/>
      <c r="N34" s="71"/>
      <c r="O34" s="71"/>
      <c r="P34" s="71"/>
      <c r="Q34" s="71"/>
      <c r="R34" s="71"/>
    </row>
    <row r="35" spans="1:19" ht="26.4" x14ac:dyDescent="0.25">
      <c r="A35" s="82"/>
      <c r="B35" s="83" t="s">
        <v>73</v>
      </c>
      <c r="C35" s="71">
        <f t="shared" si="4"/>
        <v>75.875</v>
      </c>
      <c r="D35" s="71"/>
      <c r="E35" s="71"/>
      <c r="G35" s="71"/>
      <c r="H35" s="71"/>
      <c r="I35" s="71"/>
      <c r="J35" s="71"/>
      <c r="K35" s="71"/>
      <c r="L35" s="71"/>
      <c r="M35" s="71"/>
      <c r="N35" s="71"/>
      <c r="O35" s="71"/>
      <c r="P35" s="71">
        <f>'Phụ biểu 01'!F16/1000000</f>
        <v>75.875</v>
      </c>
      <c r="Q35" s="71"/>
      <c r="R35" s="71"/>
    </row>
    <row r="36" spans="1:19" ht="26.4" x14ac:dyDescent="0.25">
      <c r="A36" s="82"/>
      <c r="B36" s="108" t="s">
        <v>198</v>
      </c>
      <c r="C36" s="71">
        <f t="shared" si="4"/>
        <v>1237.5550000000001</v>
      </c>
      <c r="D36" s="71"/>
      <c r="E36" s="71"/>
      <c r="G36" s="71">
        <f>'Biểu mẫu 02'!O83/1000000</f>
        <v>1237.5550000000001</v>
      </c>
      <c r="H36" s="71"/>
      <c r="I36" s="71"/>
      <c r="J36" s="71"/>
      <c r="K36" s="71"/>
      <c r="L36" s="71"/>
      <c r="M36" s="71"/>
      <c r="N36" s="71"/>
      <c r="O36" s="71"/>
      <c r="P36" s="71"/>
      <c r="Q36" s="71"/>
      <c r="R36" s="71"/>
    </row>
    <row r="37" spans="1:19" ht="26.4" x14ac:dyDescent="0.25">
      <c r="A37" s="131" t="s">
        <v>40</v>
      </c>
      <c r="B37" s="70" t="s">
        <v>84</v>
      </c>
      <c r="C37" s="71">
        <f t="shared" si="4"/>
        <v>1103.556437</v>
      </c>
      <c r="D37" s="71">
        <f t="shared" ref="D37:R37" si="10">SUM(D38:D41)</f>
        <v>0</v>
      </c>
      <c r="E37" s="71">
        <f t="shared" si="10"/>
        <v>0</v>
      </c>
      <c r="F37" s="71">
        <f t="shared" si="10"/>
        <v>398.07355699999999</v>
      </c>
      <c r="G37" s="71">
        <f t="shared" si="10"/>
        <v>0</v>
      </c>
      <c r="H37" s="71">
        <f t="shared" si="10"/>
        <v>0</v>
      </c>
      <c r="I37" s="71">
        <f t="shared" si="10"/>
        <v>0</v>
      </c>
      <c r="J37" s="71">
        <f t="shared" si="10"/>
        <v>0</v>
      </c>
      <c r="K37" s="71">
        <f t="shared" si="10"/>
        <v>0</v>
      </c>
      <c r="L37" s="71">
        <f t="shared" si="10"/>
        <v>0</v>
      </c>
      <c r="M37" s="71">
        <f t="shared" si="10"/>
        <v>0</v>
      </c>
      <c r="N37" s="71">
        <f t="shared" si="10"/>
        <v>0</v>
      </c>
      <c r="O37" s="71">
        <f t="shared" si="10"/>
        <v>0</v>
      </c>
      <c r="P37" s="71">
        <f t="shared" si="10"/>
        <v>705.48288000000002</v>
      </c>
      <c r="Q37" s="71">
        <f t="shared" si="10"/>
        <v>0</v>
      </c>
      <c r="R37" s="71">
        <f t="shared" si="10"/>
        <v>0</v>
      </c>
    </row>
    <row r="38" spans="1:19" ht="19.8" customHeight="1" x14ac:dyDescent="0.25">
      <c r="A38" s="132"/>
      <c r="B38" s="83" t="s">
        <v>12</v>
      </c>
      <c r="C38" s="71">
        <f t="shared" si="4"/>
        <v>89.721557000000004</v>
      </c>
      <c r="D38" s="71"/>
      <c r="E38" s="71"/>
      <c r="F38" s="71">
        <f>'Biểu mẫu 02'!O85/1000000</f>
        <v>89.721557000000004</v>
      </c>
      <c r="G38" s="71"/>
      <c r="H38" s="71"/>
      <c r="I38" s="71"/>
      <c r="J38" s="71"/>
      <c r="K38" s="71"/>
      <c r="L38" s="71"/>
      <c r="M38" s="71"/>
      <c r="N38" s="71"/>
      <c r="O38" s="71"/>
      <c r="P38" s="71"/>
      <c r="Q38" s="71"/>
      <c r="R38" s="71"/>
    </row>
    <row r="39" spans="1:19" ht="26.4" x14ac:dyDescent="0.25">
      <c r="A39" s="132"/>
      <c r="B39" s="83" t="s">
        <v>73</v>
      </c>
      <c r="C39" s="71">
        <f t="shared" si="4"/>
        <v>152.87549999999999</v>
      </c>
      <c r="D39" s="71"/>
      <c r="E39" s="71"/>
      <c r="F39" s="71"/>
      <c r="G39" s="71"/>
      <c r="H39" s="71"/>
      <c r="I39" s="71"/>
      <c r="J39" s="71"/>
      <c r="K39" s="71"/>
      <c r="L39" s="71"/>
      <c r="M39" s="71"/>
      <c r="N39" s="71"/>
      <c r="O39" s="71"/>
      <c r="P39" s="71">
        <f>'Phụ biểu 01'!F13/1000000-'Biểu mẫu 02'!O85/1000000</f>
        <v>152.87549999999999</v>
      </c>
      <c r="Q39" s="71"/>
      <c r="R39" s="71"/>
    </row>
    <row r="40" spans="1:19" ht="16.2" customHeight="1" x14ac:dyDescent="0.25">
      <c r="A40" s="132"/>
      <c r="B40" s="83" t="s">
        <v>324</v>
      </c>
      <c r="C40" s="71">
        <f t="shared" si="4"/>
        <v>552.60738000000003</v>
      </c>
      <c r="D40" s="71"/>
      <c r="E40" s="71"/>
      <c r="F40" s="71"/>
      <c r="G40" s="71"/>
      <c r="H40" s="71"/>
      <c r="I40" s="71"/>
      <c r="J40" s="71"/>
      <c r="K40" s="71"/>
      <c r="L40" s="71"/>
      <c r="M40" s="71"/>
      <c r="N40" s="71"/>
      <c r="O40" s="71"/>
      <c r="P40" s="71">
        <f>('Phụ biểu 01'!F10+'Phụ biểu 01'!F11)/1000000</f>
        <v>552.60738000000003</v>
      </c>
      <c r="Q40" s="71"/>
      <c r="R40" s="71"/>
    </row>
    <row r="41" spans="1:19" ht="26.4" x14ac:dyDescent="0.25">
      <c r="A41" s="132"/>
      <c r="B41" s="83" t="str">
        <f>'Biểu mẫu 02'!B88</f>
        <v>Đề án dân quân bảo vệ trụ sở xã 12/24</v>
      </c>
      <c r="C41" s="71">
        <f t="shared" si="4"/>
        <v>308.35199999999998</v>
      </c>
      <c r="D41" s="71"/>
      <c r="E41" s="71"/>
      <c r="F41" s="71">
        <f>'Biểu mẫu 02'!O88/1000000</f>
        <v>308.35199999999998</v>
      </c>
      <c r="G41" s="71"/>
      <c r="H41" s="71"/>
      <c r="I41" s="71"/>
      <c r="J41" s="71"/>
      <c r="K41" s="71"/>
      <c r="L41" s="71"/>
      <c r="M41" s="71"/>
      <c r="N41" s="71"/>
      <c r="O41" s="71"/>
      <c r="P41" s="71"/>
      <c r="Q41" s="71"/>
      <c r="R41" s="71"/>
    </row>
    <row r="42" spans="1:19" ht="39.6" x14ac:dyDescent="0.25">
      <c r="A42" s="131" t="s">
        <v>77</v>
      </c>
      <c r="B42" s="70" t="s">
        <v>71</v>
      </c>
      <c r="C42" s="71">
        <f t="shared" si="4"/>
        <v>381.446934</v>
      </c>
      <c r="D42" s="71">
        <f t="shared" ref="D42:R42" si="11">D43+D44</f>
        <v>0</v>
      </c>
      <c r="E42" s="71">
        <f t="shared" si="11"/>
        <v>0</v>
      </c>
      <c r="F42" s="71">
        <f t="shared" si="11"/>
        <v>0</v>
      </c>
      <c r="G42" s="71">
        <f t="shared" si="11"/>
        <v>0</v>
      </c>
      <c r="H42" s="71">
        <f t="shared" si="11"/>
        <v>0</v>
      </c>
      <c r="I42" s="71">
        <f t="shared" si="11"/>
        <v>0</v>
      </c>
      <c r="J42" s="71">
        <f t="shared" si="11"/>
        <v>0</v>
      </c>
      <c r="K42" s="71">
        <f t="shared" si="11"/>
        <v>0</v>
      </c>
      <c r="L42" s="71">
        <f t="shared" si="11"/>
        <v>0</v>
      </c>
      <c r="M42" s="71">
        <f t="shared" si="11"/>
        <v>0</v>
      </c>
      <c r="N42" s="71">
        <f t="shared" si="11"/>
        <v>0</v>
      </c>
      <c r="O42" s="71">
        <f t="shared" si="11"/>
        <v>0</v>
      </c>
      <c r="P42" s="71">
        <f t="shared" si="11"/>
        <v>381.446934</v>
      </c>
      <c r="Q42" s="71">
        <f t="shared" si="11"/>
        <v>0</v>
      </c>
      <c r="R42" s="71">
        <f t="shared" si="11"/>
        <v>0</v>
      </c>
    </row>
    <row r="43" spans="1:19" ht="21.6" customHeight="1" x14ac:dyDescent="0.25">
      <c r="A43" s="82"/>
      <c r="B43" s="83" t="s">
        <v>324</v>
      </c>
      <c r="C43" s="71">
        <f t="shared" si="4"/>
        <v>326.446934</v>
      </c>
      <c r="D43" s="71"/>
      <c r="E43" s="71"/>
      <c r="F43" s="71"/>
      <c r="G43" s="71"/>
      <c r="H43" s="71"/>
      <c r="I43" s="71"/>
      <c r="J43" s="71"/>
      <c r="K43" s="71"/>
      <c r="L43" s="71"/>
      <c r="M43" s="71"/>
      <c r="N43" s="71"/>
      <c r="O43" s="71"/>
      <c r="P43" s="71">
        <v>326.446934</v>
      </c>
      <c r="Q43" s="71"/>
      <c r="R43" s="71"/>
    </row>
    <row r="44" spans="1:19" ht="26.4" x14ac:dyDescent="0.25">
      <c r="A44" s="82"/>
      <c r="B44" s="83" t="s">
        <v>73</v>
      </c>
      <c r="C44" s="71">
        <f t="shared" si="4"/>
        <v>55</v>
      </c>
      <c r="D44" s="71"/>
      <c r="E44" s="71"/>
      <c r="F44" s="71"/>
      <c r="G44" s="71"/>
      <c r="H44" s="71"/>
      <c r="I44" s="71"/>
      <c r="J44" s="71"/>
      <c r="K44" s="71"/>
      <c r="L44" s="71"/>
      <c r="M44" s="71"/>
      <c r="N44" s="71"/>
      <c r="O44" s="71"/>
      <c r="P44" s="71">
        <v>55</v>
      </c>
      <c r="Q44" s="71"/>
      <c r="R44" s="71"/>
    </row>
    <row r="45" spans="1:19" ht="39.6" x14ac:dyDescent="0.25">
      <c r="A45" s="131" t="s">
        <v>78</v>
      </c>
      <c r="B45" s="70" t="s">
        <v>72</v>
      </c>
      <c r="C45" s="71">
        <f t="shared" si="4"/>
        <v>272.63129000000004</v>
      </c>
      <c r="D45" s="71">
        <f t="shared" ref="D45:R45" si="12">D46+D47</f>
        <v>0</v>
      </c>
      <c r="E45" s="71">
        <f t="shared" si="12"/>
        <v>0</v>
      </c>
      <c r="F45" s="71">
        <f t="shared" si="12"/>
        <v>0</v>
      </c>
      <c r="G45" s="71">
        <f t="shared" si="12"/>
        <v>0</v>
      </c>
      <c r="H45" s="71">
        <f t="shared" si="12"/>
        <v>0</v>
      </c>
      <c r="I45" s="71">
        <f t="shared" si="12"/>
        <v>0</v>
      </c>
      <c r="J45" s="71">
        <f t="shared" si="12"/>
        <v>0</v>
      </c>
      <c r="K45" s="71">
        <f t="shared" si="12"/>
        <v>0</v>
      </c>
      <c r="L45" s="71">
        <f t="shared" si="12"/>
        <v>0</v>
      </c>
      <c r="M45" s="71">
        <f t="shared" si="12"/>
        <v>0</v>
      </c>
      <c r="N45" s="71">
        <f t="shared" si="12"/>
        <v>0</v>
      </c>
      <c r="O45" s="71">
        <f t="shared" si="12"/>
        <v>0</v>
      </c>
      <c r="P45" s="71">
        <f t="shared" si="12"/>
        <v>272.63129000000004</v>
      </c>
      <c r="Q45" s="71">
        <f t="shared" si="12"/>
        <v>0</v>
      </c>
      <c r="R45" s="71">
        <f t="shared" si="12"/>
        <v>0</v>
      </c>
    </row>
    <row r="46" spans="1:19" ht="16.2" customHeight="1" x14ac:dyDescent="0.25">
      <c r="A46" s="131"/>
      <c r="B46" s="83" t="s">
        <v>324</v>
      </c>
      <c r="C46" s="71">
        <f t="shared" si="4"/>
        <v>217.63129000000001</v>
      </c>
      <c r="D46" s="71"/>
      <c r="E46" s="71"/>
      <c r="F46" s="71"/>
      <c r="G46" s="71"/>
      <c r="H46" s="71"/>
      <c r="I46" s="71"/>
      <c r="J46" s="71"/>
      <c r="K46" s="71"/>
      <c r="L46" s="71"/>
      <c r="M46" s="71"/>
      <c r="N46" s="71"/>
      <c r="O46" s="71"/>
      <c r="P46" s="71">
        <v>217.63129000000001</v>
      </c>
      <c r="Q46" s="71"/>
      <c r="R46" s="71"/>
    </row>
    <row r="47" spans="1:19" ht="26.4" x14ac:dyDescent="0.25">
      <c r="A47" s="131"/>
      <c r="B47" s="83" t="s">
        <v>73</v>
      </c>
      <c r="C47" s="71">
        <f t="shared" si="4"/>
        <v>55</v>
      </c>
      <c r="D47" s="71"/>
      <c r="E47" s="71"/>
      <c r="F47" s="71"/>
      <c r="G47" s="71"/>
      <c r="H47" s="71"/>
      <c r="I47" s="71"/>
      <c r="J47" s="71"/>
      <c r="K47" s="71"/>
      <c r="L47" s="71"/>
      <c r="M47" s="71"/>
      <c r="N47" s="71"/>
      <c r="O47" s="71"/>
      <c r="P47" s="71">
        <v>55</v>
      </c>
      <c r="Q47" s="71"/>
      <c r="R47" s="71"/>
    </row>
    <row r="48" spans="1:19" ht="26.4" x14ac:dyDescent="0.25">
      <c r="A48" s="131" t="s">
        <v>81</v>
      </c>
      <c r="B48" s="70" t="s">
        <v>85</v>
      </c>
      <c r="C48" s="71">
        <f t="shared" si="4"/>
        <v>13804.254492999999</v>
      </c>
      <c r="D48" s="71">
        <f t="shared" ref="D48:Q48" si="13">D49+D56+D69+D72+D73+D74</f>
        <v>0</v>
      </c>
      <c r="E48" s="71">
        <f t="shared" si="13"/>
        <v>0</v>
      </c>
      <c r="F48" s="71">
        <f t="shared" si="13"/>
        <v>6.1266999999999996</v>
      </c>
      <c r="G48" s="71">
        <f t="shared" si="13"/>
        <v>15.817399999999999</v>
      </c>
      <c r="H48" s="71">
        <f t="shared" si="13"/>
        <v>0</v>
      </c>
      <c r="I48" s="71">
        <f t="shared" si="13"/>
        <v>20.554600000000001</v>
      </c>
      <c r="J48" s="71">
        <f t="shared" si="13"/>
        <v>9.6616999999999997</v>
      </c>
      <c r="K48" s="71">
        <f t="shared" si="13"/>
        <v>12.352717999999999</v>
      </c>
      <c r="L48" s="71">
        <f t="shared" si="13"/>
        <v>16.149699999999999</v>
      </c>
      <c r="M48" s="71">
        <f t="shared" si="13"/>
        <v>3251.7182200000002</v>
      </c>
      <c r="N48" s="71">
        <f t="shared" si="13"/>
        <v>0</v>
      </c>
      <c r="O48" s="71">
        <f t="shared" si="13"/>
        <v>0</v>
      </c>
      <c r="P48" s="71">
        <f t="shared" si="13"/>
        <v>10333.691154999999</v>
      </c>
      <c r="Q48" s="71">
        <f t="shared" si="13"/>
        <v>8.6263000000000005</v>
      </c>
      <c r="R48" s="71">
        <f>'Biểu mẫu 02'!O89/1000000</f>
        <v>129.55600000000001</v>
      </c>
      <c r="S48" s="84"/>
    </row>
    <row r="49" spans="1:19" ht="26.4" x14ac:dyDescent="0.25">
      <c r="A49" s="131">
        <v>1</v>
      </c>
      <c r="B49" s="70" t="s">
        <v>323</v>
      </c>
      <c r="C49" s="71">
        <f>SUM(C50:C55)</f>
        <v>6435.029668000001</v>
      </c>
      <c r="D49" s="71">
        <f t="shared" ref="D49:R49" si="14">SUM(D50:D55)</f>
        <v>0</v>
      </c>
      <c r="E49" s="71">
        <f t="shared" si="14"/>
        <v>0</v>
      </c>
      <c r="F49" s="71">
        <f t="shared" si="14"/>
        <v>0</v>
      </c>
      <c r="G49" s="71">
        <f t="shared" si="14"/>
        <v>0</v>
      </c>
      <c r="H49" s="71">
        <f t="shared" si="14"/>
        <v>0</v>
      </c>
      <c r="I49" s="71">
        <f t="shared" si="14"/>
        <v>0</v>
      </c>
      <c r="J49" s="71">
        <f t="shared" si="14"/>
        <v>0</v>
      </c>
      <c r="K49" s="71">
        <f t="shared" si="14"/>
        <v>0</v>
      </c>
      <c r="L49" s="71">
        <f t="shared" si="14"/>
        <v>0</v>
      </c>
      <c r="M49" s="71">
        <f t="shared" si="14"/>
        <v>0</v>
      </c>
      <c r="N49" s="71">
        <f t="shared" si="14"/>
        <v>0</v>
      </c>
      <c r="O49" s="71">
        <f t="shared" si="14"/>
        <v>0</v>
      </c>
      <c r="P49" s="71">
        <f t="shared" si="14"/>
        <v>6435.029668000001</v>
      </c>
      <c r="Q49" s="71">
        <f t="shared" si="14"/>
        <v>0</v>
      </c>
      <c r="R49" s="71">
        <f t="shared" si="14"/>
        <v>0</v>
      </c>
      <c r="S49" s="84"/>
    </row>
    <row r="50" spans="1:19" ht="66" x14ac:dyDescent="0.25">
      <c r="A50" s="131"/>
      <c r="B50" s="83" t="s">
        <v>325</v>
      </c>
      <c r="C50" s="71">
        <f t="shared" si="4"/>
        <v>3254.7837089999998</v>
      </c>
      <c r="D50" s="71"/>
      <c r="E50" s="71"/>
      <c r="F50" s="71"/>
      <c r="G50" s="71"/>
      <c r="H50" s="71"/>
      <c r="I50" s="71"/>
      <c r="J50" s="71"/>
      <c r="K50" s="71"/>
      <c r="L50" s="71"/>
      <c r="M50" s="71"/>
      <c r="N50" s="71"/>
      <c r="O50" s="71"/>
      <c r="P50" s="71">
        <f>('Phụ biểu 01'!J24+'Phụ biểu 01'!J20)/1000000</f>
        <v>3254.7837089999998</v>
      </c>
      <c r="Q50" s="71"/>
      <c r="R50" s="71"/>
      <c r="S50" s="84"/>
    </row>
    <row r="51" spans="1:19" ht="52.8" x14ac:dyDescent="0.25">
      <c r="A51" s="132"/>
      <c r="B51" s="83" t="s">
        <v>326</v>
      </c>
      <c r="C51" s="71">
        <f t="shared" si="4"/>
        <v>1506.6781590000001</v>
      </c>
      <c r="D51" s="71"/>
      <c r="E51" s="71"/>
      <c r="F51" s="71"/>
      <c r="G51" s="71"/>
      <c r="H51" s="71"/>
      <c r="I51" s="71"/>
      <c r="J51" s="71"/>
      <c r="K51" s="71"/>
      <c r="L51" s="71"/>
      <c r="M51" s="71"/>
      <c r="N51" s="71"/>
      <c r="O51" s="71"/>
      <c r="P51" s="71">
        <v>1506.6781590000001</v>
      </c>
      <c r="Q51" s="71"/>
      <c r="R51" s="71"/>
      <c r="S51" s="84"/>
    </row>
    <row r="52" spans="1:19" ht="52.8" x14ac:dyDescent="0.25">
      <c r="A52" s="82"/>
      <c r="B52" s="83" t="s">
        <v>329</v>
      </c>
      <c r="C52" s="71">
        <f t="shared" si="4"/>
        <v>409.79429099999999</v>
      </c>
      <c r="D52" s="71"/>
      <c r="E52" s="71"/>
      <c r="F52" s="71"/>
      <c r="G52" s="71"/>
      <c r="H52" s="71"/>
      <c r="I52" s="71"/>
      <c r="J52" s="71"/>
      <c r="K52" s="71"/>
      <c r="L52" s="71"/>
      <c r="M52" s="71"/>
      <c r="N52" s="71"/>
      <c r="O52" s="71"/>
      <c r="P52" s="71">
        <f>'Phụ biểu 01'!J25/1000000</f>
        <v>409.79429099999999</v>
      </c>
      <c r="Q52" s="71"/>
      <c r="R52" s="71"/>
      <c r="S52" s="84"/>
    </row>
    <row r="53" spans="1:19" ht="39.6" x14ac:dyDescent="0.25">
      <c r="A53" s="82"/>
      <c r="B53" s="83" t="s">
        <v>327</v>
      </c>
      <c r="C53" s="71">
        <f t="shared" si="4"/>
        <v>390.48550899999998</v>
      </c>
      <c r="D53" s="71"/>
      <c r="E53" s="71"/>
      <c r="F53" s="71"/>
      <c r="G53" s="71"/>
      <c r="H53" s="71"/>
      <c r="I53" s="71"/>
      <c r="J53" s="71"/>
      <c r="K53" s="71"/>
      <c r="L53" s="71"/>
      <c r="M53" s="71"/>
      <c r="N53" s="71"/>
      <c r="O53" s="71"/>
      <c r="P53" s="71">
        <f>'Phụ biểu 01'!K25/1000000</f>
        <v>390.48550899999998</v>
      </c>
      <c r="Q53" s="71"/>
      <c r="R53" s="71"/>
      <c r="S53" s="84"/>
    </row>
    <row r="54" spans="1:19" ht="52.8" x14ac:dyDescent="0.25">
      <c r="A54" s="82"/>
      <c r="B54" s="83" t="s">
        <v>330</v>
      </c>
      <c r="C54" s="71">
        <f t="shared" si="4"/>
        <v>453.49200000000002</v>
      </c>
      <c r="D54" s="71"/>
      <c r="E54" s="71"/>
      <c r="F54" s="71"/>
      <c r="G54" s="71"/>
      <c r="H54" s="71"/>
      <c r="I54" s="71"/>
      <c r="J54" s="71"/>
      <c r="K54" s="71"/>
      <c r="L54" s="71"/>
      <c r="M54" s="71"/>
      <c r="N54" s="71"/>
      <c r="O54" s="71"/>
      <c r="P54" s="71">
        <f>'Phụ biểu 01'!J26/1000000</f>
        <v>453.49200000000002</v>
      </c>
      <c r="Q54" s="71"/>
      <c r="R54" s="71"/>
      <c r="S54" s="84"/>
    </row>
    <row r="55" spans="1:19" ht="46.8" customHeight="1" x14ac:dyDescent="0.25">
      <c r="A55" s="82"/>
      <c r="B55" s="83" t="s">
        <v>328</v>
      </c>
      <c r="C55" s="71">
        <f t="shared" si="4"/>
        <v>419.79599999999999</v>
      </c>
      <c r="D55" s="71"/>
      <c r="E55" s="71"/>
      <c r="F55" s="71"/>
      <c r="G55" s="71"/>
      <c r="H55" s="71"/>
      <c r="I55" s="71"/>
      <c r="J55" s="71"/>
      <c r="K55" s="71"/>
      <c r="L55" s="71"/>
      <c r="M55" s="71"/>
      <c r="N55" s="71"/>
      <c r="O55" s="71"/>
      <c r="P55" s="71">
        <f>'Phụ biểu 01'!K26/1000000</f>
        <v>419.79599999999999</v>
      </c>
      <c r="Q55" s="71"/>
      <c r="R55" s="71"/>
      <c r="S55" s="84"/>
    </row>
    <row r="56" spans="1:19" ht="48.6" customHeight="1" x14ac:dyDescent="0.25">
      <c r="A56" s="132">
        <v>2</v>
      </c>
      <c r="B56" s="83" t="s">
        <v>144</v>
      </c>
      <c r="C56" s="71">
        <f t="shared" si="4"/>
        <v>5614.0325570000005</v>
      </c>
      <c r="D56" s="71">
        <f t="shared" ref="D56:R56" si="15">SUM(D57:D68)</f>
        <v>0</v>
      </c>
      <c r="E56" s="71">
        <f t="shared" si="15"/>
        <v>0</v>
      </c>
      <c r="F56" s="71">
        <f t="shared" si="15"/>
        <v>0</v>
      </c>
      <c r="G56" s="71">
        <f t="shared" si="15"/>
        <v>0</v>
      </c>
      <c r="H56" s="71">
        <f t="shared" si="15"/>
        <v>0</v>
      </c>
      <c r="I56" s="71">
        <f t="shared" si="15"/>
        <v>0</v>
      </c>
      <c r="J56" s="71">
        <f t="shared" si="15"/>
        <v>0</v>
      </c>
      <c r="K56" s="71">
        <f t="shared" si="15"/>
        <v>0</v>
      </c>
      <c r="L56" s="71">
        <f t="shared" si="15"/>
        <v>0</v>
      </c>
      <c r="M56" s="71">
        <f t="shared" si="15"/>
        <v>3136.6314200000002</v>
      </c>
      <c r="N56" s="71">
        <f t="shared" si="15"/>
        <v>0</v>
      </c>
      <c r="O56" s="71">
        <f t="shared" si="15"/>
        <v>0</v>
      </c>
      <c r="P56" s="71">
        <f t="shared" si="15"/>
        <v>2477.4011369999998</v>
      </c>
      <c r="Q56" s="71">
        <f t="shared" si="15"/>
        <v>0</v>
      </c>
      <c r="R56" s="71">
        <f t="shared" si="15"/>
        <v>0</v>
      </c>
      <c r="S56" s="84"/>
    </row>
    <row r="57" spans="1:19" ht="26.4" x14ac:dyDescent="0.25">
      <c r="A57" s="82"/>
      <c r="B57" s="85" t="s">
        <v>147</v>
      </c>
      <c r="C57" s="71">
        <f t="shared" si="4"/>
        <v>686.63354200000003</v>
      </c>
      <c r="D57" s="71"/>
      <c r="E57" s="71"/>
      <c r="F57" s="71"/>
      <c r="G57" s="71"/>
      <c r="H57" s="71"/>
      <c r="I57" s="71"/>
      <c r="J57" s="71"/>
      <c r="K57" s="71"/>
      <c r="L57" s="71"/>
      <c r="M57" s="71"/>
      <c r="N57" s="71"/>
      <c r="O57" s="71"/>
      <c r="P57" s="71">
        <v>686.63354200000003</v>
      </c>
      <c r="Q57" s="71"/>
      <c r="R57" s="71"/>
    </row>
    <row r="58" spans="1:19" ht="39.6" x14ac:dyDescent="0.25">
      <c r="A58" s="82"/>
      <c r="B58" s="85" t="s">
        <v>146</v>
      </c>
      <c r="C58" s="71">
        <f t="shared" si="4"/>
        <v>1422.447095</v>
      </c>
      <c r="D58" s="71"/>
      <c r="E58" s="71"/>
      <c r="F58" s="71"/>
      <c r="G58" s="71"/>
      <c r="H58" s="71"/>
      <c r="I58" s="71"/>
      <c r="J58" s="71"/>
      <c r="K58" s="71"/>
      <c r="L58" s="71"/>
      <c r="M58" s="71"/>
      <c r="N58" s="71"/>
      <c r="O58" s="71"/>
      <c r="P58" s="71">
        <f>'Phụ biểu 01'!J29/1000000</f>
        <v>1422.447095</v>
      </c>
      <c r="Q58" s="71"/>
      <c r="R58" s="71"/>
    </row>
    <row r="59" spans="1:19" ht="52.8" x14ac:dyDescent="0.25">
      <c r="A59" s="82"/>
      <c r="B59" s="85" t="s">
        <v>152</v>
      </c>
      <c r="C59" s="71">
        <f t="shared" si="4"/>
        <v>67.2</v>
      </c>
      <c r="D59" s="71"/>
      <c r="E59" s="71"/>
      <c r="F59" s="71"/>
      <c r="G59" s="71"/>
      <c r="H59" s="71"/>
      <c r="I59" s="71"/>
      <c r="J59" s="71"/>
      <c r="K59" s="71"/>
      <c r="L59" s="71"/>
      <c r="M59" s="71"/>
      <c r="N59" s="71"/>
      <c r="O59" s="71"/>
      <c r="P59" s="71">
        <f>'Biểu mẫu 02'!P77/1000000</f>
        <v>67.2</v>
      </c>
      <c r="Q59" s="71"/>
      <c r="R59" s="71"/>
    </row>
    <row r="60" spans="1:19" ht="39.6" x14ac:dyDescent="0.25">
      <c r="A60" s="82"/>
      <c r="B60" s="85" t="s">
        <v>153</v>
      </c>
      <c r="C60" s="71">
        <f t="shared" si="4"/>
        <v>76.8</v>
      </c>
      <c r="D60" s="71"/>
      <c r="E60" s="71"/>
      <c r="F60" s="71"/>
      <c r="G60" s="71"/>
      <c r="H60" s="71"/>
      <c r="I60" s="71"/>
      <c r="J60" s="71"/>
      <c r="K60" s="71"/>
      <c r="L60" s="71"/>
      <c r="M60" s="71"/>
      <c r="N60" s="71"/>
      <c r="O60" s="71"/>
      <c r="P60" s="71">
        <f>'Biểu mẫu 02'!Q77/1000000</f>
        <v>76.8</v>
      </c>
      <c r="Q60" s="71"/>
      <c r="R60" s="71"/>
    </row>
    <row r="61" spans="1:19" ht="52.8" x14ac:dyDescent="0.25">
      <c r="A61" s="82"/>
      <c r="B61" s="85" t="s">
        <v>150</v>
      </c>
      <c r="C61" s="71">
        <f t="shared" si="4"/>
        <v>32</v>
      </c>
      <c r="D61" s="71"/>
      <c r="E61" s="71"/>
      <c r="F61" s="71"/>
      <c r="G61" s="71"/>
      <c r="H61" s="71"/>
      <c r="I61" s="71"/>
      <c r="J61" s="71"/>
      <c r="K61" s="71"/>
      <c r="L61" s="71"/>
      <c r="M61" s="71"/>
      <c r="N61" s="71"/>
      <c r="O61" s="71"/>
      <c r="P61" s="71">
        <v>32</v>
      </c>
      <c r="Q61" s="71"/>
      <c r="R61" s="71"/>
    </row>
    <row r="62" spans="1:19" ht="39.6" x14ac:dyDescent="0.25">
      <c r="A62" s="82"/>
      <c r="B62" s="85" t="s">
        <v>151</v>
      </c>
      <c r="C62" s="71">
        <f t="shared" si="4"/>
        <v>133.35249999999999</v>
      </c>
      <c r="D62" s="71"/>
      <c r="E62" s="71"/>
      <c r="F62" s="71"/>
      <c r="G62" s="71"/>
      <c r="H62" s="71"/>
      <c r="I62" s="71"/>
      <c r="J62" s="71"/>
      <c r="K62" s="71"/>
      <c r="L62" s="71"/>
      <c r="M62" s="71"/>
      <c r="N62" s="71"/>
      <c r="O62" s="71"/>
      <c r="P62" s="71">
        <v>133.35249999999999</v>
      </c>
      <c r="Q62" s="71"/>
      <c r="R62" s="71"/>
    </row>
    <row r="63" spans="1:19" ht="55.8" customHeight="1" x14ac:dyDescent="0.25">
      <c r="A63" s="82"/>
      <c r="B63" s="85" t="s">
        <v>148</v>
      </c>
      <c r="C63" s="71">
        <f t="shared" si="4"/>
        <v>29.484000000000002</v>
      </c>
      <c r="D63" s="71"/>
      <c r="E63" s="71"/>
      <c r="F63" s="71"/>
      <c r="G63" s="71"/>
      <c r="H63" s="71"/>
      <c r="I63" s="71"/>
      <c r="J63" s="71"/>
      <c r="K63" s="71"/>
      <c r="L63" s="71"/>
      <c r="M63" s="71"/>
      <c r="N63" s="71"/>
      <c r="O63" s="71"/>
      <c r="P63" s="71">
        <v>29.484000000000002</v>
      </c>
      <c r="Q63" s="71"/>
      <c r="R63" s="71"/>
    </row>
    <row r="64" spans="1:19" ht="47.4" customHeight="1" x14ac:dyDescent="0.25">
      <c r="A64" s="82"/>
      <c r="B64" s="85" t="s">
        <v>149</v>
      </c>
      <c r="C64" s="71">
        <f t="shared" si="4"/>
        <v>29.484000000000002</v>
      </c>
      <c r="D64" s="71"/>
      <c r="E64" s="71"/>
      <c r="F64" s="71"/>
      <c r="G64" s="71"/>
      <c r="H64" s="71"/>
      <c r="I64" s="71"/>
      <c r="J64" s="71"/>
      <c r="K64" s="71"/>
      <c r="L64" s="71"/>
      <c r="M64" s="71"/>
      <c r="N64" s="71"/>
      <c r="O64" s="71"/>
      <c r="P64" s="71">
        <v>29.484000000000002</v>
      </c>
      <c r="Q64" s="71"/>
      <c r="R64" s="71"/>
    </row>
    <row r="65" spans="1:18" ht="26.4" x14ac:dyDescent="0.25">
      <c r="A65" s="82"/>
      <c r="B65" s="85" t="s">
        <v>321</v>
      </c>
      <c r="C65" s="71">
        <f t="shared" si="4"/>
        <v>2426.5374200000001</v>
      </c>
      <c r="D65" s="71"/>
      <c r="E65" s="71"/>
      <c r="F65" s="71"/>
      <c r="G65" s="71"/>
      <c r="H65" s="71"/>
      <c r="I65" s="71"/>
      <c r="J65" s="71"/>
      <c r="K65" s="71"/>
      <c r="L65" s="71"/>
      <c r="M65" s="71">
        <f>'Biểu mẫu 02'!O52/1000000</f>
        <v>2426.5374200000001</v>
      </c>
      <c r="N65" s="71"/>
      <c r="O65" s="71"/>
      <c r="P65" s="71"/>
      <c r="Q65" s="71"/>
      <c r="R65" s="71"/>
    </row>
    <row r="66" spans="1:18" ht="66" x14ac:dyDescent="0.25">
      <c r="A66" s="82"/>
      <c r="B66" s="85" t="s">
        <v>181</v>
      </c>
      <c r="C66" s="71">
        <f t="shared" si="4"/>
        <v>36.554000000000002</v>
      </c>
      <c r="D66" s="71"/>
      <c r="E66" s="71"/>
      <c r="F66" s="71"/>
      <c r="G66" s="71"/>
      <c r="H66" s="71"/>
      <c r="I66" s="71"/>
      <c r="J66" s="71"/>
      <c r="K66" s="71"/>
      <c r="L66" s="71"/>
      <c r="M66" s="71">
        <f>'Biểu mẫu 02'!O56/1000000</f>
        <v>36.554000000000002</v>
      </c>
      <c r="N66" s="71"/>
      <c r="O66" s="71"/>
      <c r="P66" s="71"/>
      <c r="Q66" s="71"/>
      <c r="R66" s="71"/>
    </row>
    <row r="67" spans="1:18" ht="52.8" x14ac:dyDescent="0.25">
      <c r="A67" s="82"/>
      <c r="B67" s="85" t="s">
        <v>182</v>
      </c>
      <c r="C67" s="71">
        <f t="shared" si="4"/>
        <v>411.54</v>
      </c>
      <c r="D67" s="71"/>
      <c r="E67" s="71"/>
      <c r="F67" s="71"/>
      <c r="G67" s="71"/>
      <c r="H67" s="71"/>
      <c r="I67" s="71"/>
      <c r="J67" s="71"/>
      <c r="K67" s="71"/>
      <c r="L67" s="71"/>
      <c r="M67" s="71">
        <f>'Biểu mẫu 02'!O57/1000000</f>
        <v>411.54</v>
      </c>
      <c r="N67" s="71"/>
      <c r="O67" s="71"/>
      <c r="P67" s="71"/>
      <c r="Q67" s="71"/>
      <c r="R67" s="71"/>
    </row>
    <row r="68" spans="1:18" ht="52.8" x14ac:dyDescent="0.25">
      <c r="A68" s="82"/>
      <c r="B68" s="85" t="s">
        <v>183</v>
      </c>
      <c r="C68" s="71">
        <f t="shared" si="4"/>
        <v>262</v>
      </c>
      <c r="D68" s="71"/>
      <c r="E68" s="71"/>
      <c r="F68" s="71"/>
      <c r="G68" s="71"/>
      <c r="H68" s="71"/>
      <c r="I68" s="71"/>
      <c r="J68" s="71"/>
      <c r="K68" s="71"/>
      <c r="L68" s="71"/>
      <c r="M68" s="71">
        <f>'Biểu mẫu 02'!O58/1000000</f>
        <v>262</v>
      </c>
      <c r="N68" s="71"/>
      <c r="O68" s="71"/>
      <c r="P68" s="71"/>
      <c r="Q68" s="71"/>
      <c r="R68" s="71"/>
    </row>
    <row r="69" spans="1:18" ht="52.8" x14ac:dyDescent="0.25">
      <c r="A69" s="132">
        <v>3</v>
      </c>
      <c r="B69" s="83" t="s">
        <v>145</v>
      </c>
      <c r="C69" s="71">
        <f t="shared" si="4"/>
        <v>433.49225999999999</v>
      </c>
      <c r="D69" s="71">
        <f t="shared" ref="D69:R69" si="16">SUM(D70:D71)</f>
        <v>0</v>
      </c>
      <c r="E69" s="71">
        <f t="shared" si="16"/>
        <v>0</v>
      </c>
      <c r="F69" s="71">
        <f t="shared" si="16"/>
        <v>0</v>
      </c>
      <c r="G69" s="71">
        <f t="shared" si="16"/>
        <v>0</v>
      </c>
      <c r="H69" s="71">
        <f t="shared" si="16"/>
        <v>0</v>
      </c>
      <c r="I69" s="71">
        <f t="shared" si="16"/>
        <v>0</v>
      </c>
      <c r="J69" s="71">
        <f t="shared" si="16"/>
        <v>0</v>
      </c>
      <c r="K69" s="71">
        <f t="shared" si="16"/>
        <v>0</v>
      </c>
      <c r="L69" s="71">
        <f t="shared" si="16"/>
        <v>0</v>
      </c>
      <c r="M69" s="71">
        <f t="shared" si="16"/>
        <v>0</v>
      </c>
      <c r="N69" s="71">
        <f t="shared" si="16"/>
        <v>0</v>
      </c>
      <c r="O69" s="71">
        <f t="shared" si="16"/>
        <v>0</v>
      </c>
      <c r="P69" s="71">
        <f t="shared" si="16"/>
        <v>433.49225999999999</v>
      </c>
      <c r="Q69" s="71">
        <f t="shared" si="16"/>
        <v>0</v>
      </c>
      <c r="R69" s="71">
        <f t="shared" si="16"/>
        <v>0</v>
      </c>
    </row>
    <row r="70" spans="1:18" ht="26.4" x14ac:dyDescent="0.25">
      <c r="A70" s="82"/>
      <c r="B70" s="85" t="s">
        <v>147</v>
      </c>
      <c r="C70" s="71">
        <f t="shared" si="4"/>
        <v>199.393022</v>
      </c>
      <c r="D70" s="71"/>
      <c r="E70" s="71"/>
      <c r="F70" s="71"/>
      <c r="G70" s="71"/>
      <c r="H70" s="71"/>
      <c r="I70" s="71"/>
      <c r="J70" s="71"/>
      <c r="K70" s="71"/>
      <c r="L70" s="71"/>
      <c r="M70" s="71"/>
      <c r="N70" s="71"/>
      <c r="O70" s="71"/>
      <c r="P70" s="71">
        <f>'Phụ biểu 01'!J22/1000000</f>
        <v>199.393022</v>
      </c>
      <c r="Q70" s="71"/>
      <c r="R70" s="71"/>
    </row>
    <row r="71" spans="1:18" ht="39.6" x14ac:dyDescent="0.25">
      <c r="A71" s="82"/>
      <c r="B71" s="85" t="s">
        <v>146</v>
      </c>
      <c r="C71" s="71">
        <f t="shared" si="4"/>
        <v>234.09923800000001</v>
      </c>
      <c r="D71" s="71"/>
      <c r="E71" s="71"/>
      <c r="F71" s="71"/>
      <c r="G71" s="71"/>
      <c r="H71" s="71"/>
      <c r="I71" s="71"/>
      <c r="J71" s="71"/>
      <c r="K71" s="71"/>
      <c r="L71" s="71"/>
      <c r="M71" s="71"/>
      <c r="N71" s="71"/>
      <c r="O71" s="71"/>
      <c r="P71" s="71">
        <f>'Phụ biểu 01'!K22/1000000</f>
        <v>234.09923800000001</v>
      </c>
      <c r="Q71" s="71"/>
      <c r="R71" s="71"/>
    </row>
    <row r="72" spans="1:18" ht="26.4" x14ac:dyDescent="0.25">
      <c r="A72" s="132">
        <v>4</v>
      </c>
      <c r="B72" s="108" t="s">
        <v>190</v>
      </c>
      <c r="C72" s="71">
        <f t="shared" si="4"/>
        <v>530.71199999999999</v>
      </c>
      <c r="D72" s="71"/>
      <c r="E72" s="71"/>
      <c r="F72" s="71"/>
      <c r="G72" s="71"/>
      <c r="H72" s="71"/>
      <c r="I72" s="71"/>
      <c r="J72" s="71"/>
      <c r="K72" s="71"/>
      <c r="L72" s="71"/>
      <c r="M72" s="71"/>
      <c r="N72" s="71"/>
      <c r="O72" s="71"/>
      <c r="P72" s="92">
        <f>'Biểu mẫu 02'!O71/1000000</f>
        <v>530.71199999999999</v>
      </c>
      <c r="Q72" s="71"/>
      <c r="R72" s="71"/>
    </row>
    <row r="73" spans="1:18" ht="26.4" x14ac:dyDescent="0.25">
      <c r="A73" s="132">
        <v>5</v>
      </c>
      <c r="B73" s="85" t="s">
        <v>28</v>
      </c>
      <c r="C73" s="71">
        <f t="shared" si="4"/>
        <v>12.9556</v>
      </c>
      <c r="D73" s="71"/>
      <c r="E73" s="71"/>
      <c r="F73" s="71"/>
      <c r="G73" s="71"/>
      <c r="H73" s="71"/>
      <c r="I73" s="71"/>
      <c r="J73" s="71"/>
      <c r="K73" s="71"/>
      <c r="L73" s="71"/>
      <c r="M73" s="71"/>
      <c r="N73" s="71"/>
      <c r="O73" s="71"/>
      <c r="P73" s="71"/>
      <c r="Q73" s="71"/>
      <c r="R73" s="71">
        <f>'Biểu mẫu 02'!O90/10000000</f>
        <v>12.9556</v>
      </c>
    </row>
    <row r="74" spans="1:18" ht="16.8" customHeight="1" x14ac:dyDescent="0.25">
      <c r="A74" s="132">
        <v>6</v>
      </c>
      <c r="B74" s="85" t="s">
        <v>80</v>
      </c>
      <c r="C74" s="71">
        <f t="shared" si="4"/>
        <v>661.432008</v>
      </c>
      <c r="D74" s="71"/>
      <c r="E74" s="71"/>
      <c r="F74" s="71">
        <f>'Biểu mẫu 02'!O86/1000000</f>
        <v>6.1266999999999996</v>
      </c>
      <c r="G74" s="71">
        <f>'Biểu mẫu 02'!O80/1000000</f>
        <v>15.817399999999999</v>
      </c>
      <c r="H74" s="71"/>
      <c r="I74" s="71">
        <f>'Biểu mẫu 02'!O28/1000000</f>
        <v>20.554600000000001</v>
      </c>
      <c r="J74" s="71">
        <f>'Biểu mẫu 02'!O32/1000000</f>
        <v>9.6616999999999997</v>
      </c>
      <c r="K74" s="71">
        <f>'Biểu mẫu 02'!O37/1000000</f>
        <v>12.352717999999999</v>
      </c>
      <c r="L74" s="71">
        <f>'Biểu mẫu 02'!O61/1000000</f>
        <v>16.149699999999999</v>
      </c>
      <c r="M74" s="71">
        <f>'Biểu mẫu 02'!O53/1000000</f>
        <v>115.0868</v>
      </c>
      <c r="N74" s="71"/>
      <c r="O74" s="71"/>
      <c r="P74" s="71">
        <f>'Biểu mẫu 02'!O66/1000000</f>
        <v>457.05608999999998</v>
      </c>
      <c r="Q74" s="71">
        <f>'Biểu mẫu 02'!O42/1000000</f>
        <v>8.6263000000000005</v>
      </c>
      <c r="R74" s="71"/>
    </row>
    <row r="75" spans="1:18" ht="24" customHeight="1" x14ac:dyDescent="0.25">
      <c r="A75" s="131" t="s">
        <v>86</v>
      </c>
      <c r="B75" s="86" t="s">
        <v>89</v>
      </c>
      <c r="C75" s="71">
        <f t="shared" si="4"/>
        <v>831.22155199999997</v>
      </c>
      <c r="D75" s="71">
        <f t="shared" ref="D75:R75" si="17">SUM(D76:D78)</f>
        <v>0</v>
      </c>
      <c r="E75" s="71">
        <f t="shared" si="17"/>
        <v>0</v>
      </c>
      <c r="F75" s="71">
        <f t="shared" si="17"/>
        <v>0</v>
      </c>
      <c r="G75" s="71">
        <f t="shared" si="17"/>
        <v>0</v>
      </c>
      <c r="H75" s="71">
        <f t="shared" si="17"/>
        <v>0</v>
      </c>
      <c r="I75" s="71">
        <f t="shared" si="17"/>
        <v>0</v>
      </c>
      <c r="J75" s="71">
        <f t="shared" si="17"/>
        <v>0</v>
      </c>
      <c r="K75" s="71">
        <f t="shared" si="17"/>
        <v>0</v>
      </c>
      <c r="L75" s="71">
        <f t="shared" si="17"/>
        <v>144.884196</v>
      </c>
      <c r="M75" s="71">
        <f t="shared" si="17"/>
        <v>0</v>
      </c>
      <c r="N75" s="71">
        <f t="shared" si="17"/>
        <v>0</v>
      </c>
      <c r="O75" s="71">
        <f t="shared" si="17"/>
        <v>0</v>
      </c>
      <c r="P75" s="71">
        <f t="shared" si="17"/>
        <v>686.337356</v>
      </c>
      <c r="Q75" s="71">
        <f t="shared" si="17"/>
        <v>0</v>
      </c>
      <c r="R75" s="71">
        <f t="shared" si="17"/>
        <v>0</v>
      </c>
    </row>
    <row r="76" spans="1:18" ht="26.4" x14ac:dyDescent="0.25">
      <c r="A76" s="132"/>
      <c r="B76" s="85" t="s">
        <v>108</v>
      </c>
      <c r="C76" s="71">
        <f t="shared" si="4"/>
        <v>144.884196</v>
      </c>
      <c r="D76" s="71"/>
      <c r="E76" s="71"/>
      <c r="F76" s="71"/>
      <c r="G76" s="71"/>
      <c r="H76" s="71"/>
      <c r="I76" s="71"/>
      <c r="J76" s="71"/>
      <c r="K76" s="71"/>
      <c r="L76" s="71">
        <f>'Biểu mẫu 02'!O60/1000000</f>
        <v>144.884196</v>
      </c>
      <c r="M76" s="71"/>
      <c r="N76" s="71"/>
      <c r="O76" s="71"/>
      <c r="P76" s="71"/>
      <c r="Q76" s="71"/>
      <c r="R76" s="71"/>
    </row>
    <row r="77" spans="1:18" ht="18" customHeight="1" x14ac:dyDescent="0.25">
      <c r="A77" s="132"/>
      <c r="B77" s="85" t="s">
        <v>318</v>
      </c>
      <c r="C77" s="71">
        <f t="shared" si="4"/>
        <v>527.337356</v>
      </c>
      <c r="D77" s="71"/>
      <c r="E77" s="71"/>
      <c r="F77" s="71"/>
      <c r="G77" s="71"/>
      <c r="H77" s="71"/>
      <c r="I77" s="71"/>
      <c r="J77" s="71"/>
      <c r="K77" s="71"/>
      <c r="L77" s="71"/>
      <c r="M77" s="71"/>
      <c r="N77" s="71"/>
      <c r="O77" s="71"/>
      <c r="P77" s="71">
        <v>527.337356</v>
      </c>
      <c r="Q77" s="71"/>
      <c r="R77" s="71"/>
    </row>
    <row r="78" spans="1:18" ht="17.399999999999999" customHeight="1" x14ac:dyDescent="0.25">
      <c r="A78" s="132"/>
      <c r="B78" s="85" t="s">
        <v>227</v>
      </c>
      <c r="C78" s="71">
        <f t="shared" si="4"/>
        <v>159</v>
      </c>
      <c r="D78" s="71"/>
      <c r="E78" s="71"/>
      <c r="F78" s="71"/>
      <c r="G78" s="71"/>
      <c r="H78" s="71"/>
      <c r="I78" s="71"/>
      <c r="J78" s="71"/>
      <c r="K78" s="71"/>
      <c r="L78" s="71"/>
      <c r="M78" s="71"/>
      <c r="N78" s="71"/>
      <c r="O78" s="71"/>
      <c r="P78" s="71">
        <v>159</v>
      </c>
      <c r="Q78" s="71"/>
      <c r="R78" s="71"/>
    </row>
    <row r="79" spans="1:18" ht="20.399999999999999" customHeight="1" x14ac:dyDescent="0.25">
      <c r="A79" s="131" t="s">
        <v>87</v>
      </c>
      <c r="B79" s="86" t="s">
        <v>88</v>
      </c>
      <c r="C79" s="71">
        <f t="shared" si="4"/>
        <v>7940.1657059999998</v>
      </c>
      <c r="D79" s="71">
        <f t="shared" ref="D79:R79" si="18">SUM(D80:D94)</f>
        <v>0</v>
      </c>
      <c r="E79" s="71">
        <f t="shared" si="18"/>
        <v>0</v>
      </c>
      <c r="F79" s="71">
        <f t="shared" si="18"/>
        <v>0.445743</v>
      </c>
      <c r="G79" s="71">
        <f t="shared" si="18"/>
        <v>2.3018459999999998</v>
      </c>
      <c r="H79" s="71">
        <f t="shared" si="18"/>
        <v>0</v>
      </c>
      <c r="I79" s="71">
        <f t="shared" si="18"/>
        <v>379.99139999999994</v>
      </c>
      <c r="J79" s="71">
        <f t="shared" si="18"/>
        <v>86.955299999999994</v>
      </c>
      <c r="K79" s="71">
        <f t="shared" si="18"/>
        <v>141.18228199999999</v>
      </c>
      <c r="L79" s="71">
        <f t="shared" si="18"/>
        <v>0.46310400000000002</v>
      </c>
      <c r="M79" s="71">
        <f t="shared" si="18"/>
        <v>5.0937799999999998</v>
      </c>
      <c r="N79" s="71">
        <f t="shared" si="18"/>
        <v>0</v>
      </c>
      <c r="O79" s="71">
        <f t="shared" si="18"/>
        <v>0</v>
      </c>
      <c r="P79" s="71">
        <f t="shared" si="18"/>
        <v>668.76205600000003</v>
      </c>
      <c r="Q79" s="71">
        <f t="shared" si="18"/>
        <v>6654.9701949999999</v>
      </c>
      <c r="R79" s="71">
        <f t="shared" si="18"/>
        <v>0</v>
      </c>
    </row>
    <row r="80" spans="1:18" ht="26.4" x14ac:dyDescent="0.25">
      <c r="A80" s="132"/>
      <c r="B80" s="109" t="s">
        <v>171</v>
      </c>
      <c r="C80" s="71">
        <f t="shared" si="4"/>
        <v>195</v>
      </c>
      <c r="D80" s="71"/>
      <c r="E80" s="71"/>
      <c r="F80" s="71"/>
      <c r="G80" s="71"/>
      <c r="H80" s="71"/>
      <c r="I80" s="71">
        <f>'Biểu mẫu 02'!O26/1000000</f>
        <v>195</v>
      </c>
      <c r="J80" s="71"/>
      <c r="K80" s="71"/>
      <c r="L80" s="71"/>
      <c r="M80" s="71"/>
      <c r="N80" s="71"/>
      <c r="O80" s="71"/>
      <c r="P80" s="71"/>
      <c r="Q80" s="71"/>
      <c r="R80" s="71"/>
    </row>
    <row r="81" spans="1:18" ht="39.6" x14ac:dyDescent="0.25">
      <c r="A81" s="132"/>
      <c r="B81" s="109" t="s">
        <v>172</v>
      </c>
      <c r="C81" s="71">
        <f t="shared" si="4"/>
        <v>183.312648</v>
      </c>
      <c r="D81" s="71"/>
      <c r="E81" s="71"/>
      <c r="F81" s="71"/>
      <c r="G81" s="71"/>
      <c r="H81" s="71"/>
      <c r="I81" s="71">
        <f>'Biểu mẫu 02'!O27/1000000</f>
        <v>183.312648</v>
      </c>
      <c r="J81" s="71"/>
      <c r="K81" s="71"/>
      <c r="L81" s="71"/>
      <c r="M81" s="71"/>
      <c r="N81" s="71"/>
      <c r="O81" s="71"/>
      <c r="P81" s="71"/>
      <c r="Q81" s="71"/>
      <c r="R81" s="71"/>
    </row>
    <row r="82" spans="1:18" ht="26.4" x14ac:dyDescent="0.25">
      <c r="A82" s="132"/>
      <c r="B82" s="85" t="s">
        <v>322</v>
      </c>
      <c r="C82" s="71">
        <f t="shared" ref="C82:C95" si="19">SUM(D82:R82)</f>
        <v>57.025162999999999</v>
      </c>
      <c r="D82" s="71"/>
      <c r="E82" s="71"/>
      <c r="F82" s="71"/>
      <c r="G82" s="71"/>
      <c r="H82" s="71"/>
      <c r="I82" s="71"/>
      <c r="J82" s="71"/>
      <c r="K82" s="71"/>
      <c r="L82" s="71"/>
      <c r="M82" s="71"/>
      <c r="N82" s="71"/>
      <c r="O82" s="71"/>
      <c r="P82" s="71"/>
      <c r="Q82" s="71">
        <f>'Biểu mẫu 02'!O41/1000000</f>
        <v>57.025162999999999</v>
      </c>
      <c r="R82" s="71"/>
    </row>
    <row r="83" spans="1:18" ht="26.4" x14ac:dyDescent="0.25">
      <c r="A83" s="132"/>
      <c r="B83" s="85" t="s">
        <v>176</v>
      </c>
      <c r="C83" s="71">
        <f t="shared" si="19"/>
        <v>226.57</v>
      </c>
      <c r="D83" s="71"/>
      <c r="E83" s="71"/>
      <c r="F83" s="71"/>
      <c r="G83" s="71"/>
      <c r="H83" s="71"/>
      <c r="I83" s="71"/>
      <c r="J83" s="71"/>
      <c r="K83" s="71"/>
      <c r="L83" s="71"/>
      <c r="M83" s="71"/>
      <c r="N83" s="71"/>
      <c r="O83" s="71"/>
      <c r="P83" s="71"/>
      <c r="Q83" s="71">
        <f>'Biểu mẫu 02'!O45/1000000</f>
        <v>226.57</v>
      </c>
      <c r="R83" s="71"/>
    </row>
    <row r="84" spans="1:18" ht="66" x14ac:dyDescent="0.25">
      <c r="A84" s="132"/>
      <c r="B84" s="85" t="s">
        <v>177</v>
      </c>
      <c r="C84" s="71">
        <f t="shared" si="19"/>
        <v>24</v>
      </c>
      <c r="D84" s="71"/>
      <c r="E84" s="71"/>
      <c r="F84" s="71"/>
      <c r="G84" s="71"/>
      <c r="H84" s="71"/>
      <c r="I84" s="71"/>
      <c r="J84" s="71"/>
      <c r="K84" s="71"/>
      <c r="L84" s="71"/>
      <c r="M84" s="71"/>
      <c r="N84" s="71"/>
      <c r="O84" s="71"/>
      <c r="P84" s="71"/>
      <c r="Q84" s="71">
        <f>'Biểu mẫu 02'!O46/1000000</f>
        <v>24</v>
      </c>
      <c r="R84" s="71"/>
    </row>
    <row r="85" spans="1:18" ht="39.6" x14ac:dyDescent="0.25">
      <c r="A85" s="132"/>
      <c r="B85" s="85" t="s">
        <v>178</v>
      </c>
      <c r="C85" s="71">
        <f t="shared" si="19"/>
        <v>5655.76</v>
      </c>
      <c r="D85" s="71"/>
      <c r="E85" s="71"/>
      <c r="F85" s="71"/>
      <c r="G85" s="71"/>
      <c r="H85" s="71"/>
      <c r="I85" s="71"/>
      <c r="J85" s="71"/>
      <c r="K85" s="71"/>
      <c r="L85" s="71"/>
      <c r="M85" s="71"/>
      <c r="N85" s="71"/>
      <c r="O85" s="71"/>
      <c r="P85" s="71"/>
      <c r="Q85" s="71">
        <f>'Biểu mẫu 02'!O47/1000000</f>
        <v>5655.76</v>
      </c>
      <c r="R85" s="71"/>
    </row>
    <row r="86" spans="1:18" ht="39.6" x14ac:dyDescent="0.25">
      <c r="A86" s="132"/>
      <c r="B86" s="85" t="s">
        <v>179</v>
      </c>
      <c r="C86" s="71">
        <f t="shared" si="19"/>
        <v>571.23549500000001</v>
      </c>
      <c r="D86" s="71"/>
      <c r="E86" s="71"/>
      <c r="F86" s="71"/>
      <c r="G86" s="71"/>
      <c r="H86" s="71"/>
      <c r="I86" s="71"/>
      <c r="J86" s="71"/>
      <c r="K86" s="71"/>
      <c r="L86" s="71"/>
      <c r="M86" s="71"/>
      <c r="N86" s="71"/>
      <c r="O86" s="71"/>
      <c r="P86" s="71"/>
      <c r="Q86" s="71">
        <f>'Biểu mẫu 02'!O48/1000000</f>
        <v>571.23549500000001</v>
      </c>
      <c r="R86" s="71"/>
    </row>
    <row r="87" spans="1:18" ht="66" x14ac:dyDescent="0.25">
      <c r="A87" s="132"/>
      <c r="B87" s="85" t="s">
        <v>180</v>
      </c>
      <c r="C87" s="71">
        <f t="shared" si="19"/>
        <v>41.768000000000001</v>
      </c>
      <c r="D87" s="71"/>
      <c r="E87" s="71"/>
      <c r="F87" s="71"/>
      <c r="G87" s="71"/>
      <c r="H87" s="71"/>
      <c r="I87" s="71"/>
      <c r="J87" s="71"/>
      <c r="K87" s="71"/>
      <c r="L87" s="71"/>
      <c r="M87" s="71"/>
      <c r="N87" s="71"/>
      <c r="O87" s="71"/>
      <c r="P87" s="71"/>
      <c r="Q87" s="71">
        <f>'Biểu mẫu 02'!O49/1000000</f>
        <v>41.768000000000001</v>
      </c>
      <c r="R87" s="71"/>
    </row>
    <row r="88" spans="1:18" ht="84.6" customHeight="1" x14ac:dyDescent="0.25">
      <c r="A88" s="132"/>
      <c r="B88" s="85" t="s">
        <v>74</v>
      </c>
      <c r="C88" s="71">
        <f t="shared" si="19"/>
        <v>78</v>
      </c>
      <c r="D88" s="71"/>
      <c r="E88" s="71"/>
      <c r="F88" s="71"/>
      <c r="G88" s="71"/>
      <c r="H88" s="71"/>
      <c r="I88" s="71"/>
      <c r="J88" s="71"/>
      <c r="K88" s="71"/>
      <c r="L88" s="71"/>
      <c r="M88" s="71"/>
      <c r="N88" s="71"/>
      <c r="O88" s="71"/>
      <c r="P88" s="71"/>
      <c r="Q88" s="71">
        <f>'Biểu mẫu 02'!O50/1000000</f>
        <v>78</v>
      </c>
      <c r="R88" s="71"/>
    </row>
    <row r="89" spans="1:18" ht="39.6" x14ac:dyDescent="0.25">
      <c r="A89" s="132"/>
      <c r="B89" s="85" t="s">
        <v>103</v>
      </c>
      <c r="C89" s="71">
        <f t="shared" si="19"/>
        <v>86.579689999999999</v>
      </c>
      <c r="D89" s="71"/>
      <c r="E89" s="71"/>
      <c r="F89" s="71"/>
      <c r="G89" s="71"/>
      <c r="H89" s="71"/>
      <c r="I89" s="71"/>
      <c r="J89" s="71">
        <f>'Biểu mẫu 02'!O31/1000000</f>
        <v>86.579689999999999</v>
      </c>
      <c r="K89" s="71"/>
      <c r="L89" s="71"/>
      <c r="M89" s="71"/>
      <c r="N89" s="71"/>
      <c r="O89" s="71"/>
      <c r="P89" s="71"/>
      <c r="Q89" s="71"/>
      <c r="R89" s="71"/>
    </row>
    <row r="90" spans="1:18" ht="26.4" x14ac:dyDescent="0.25">
      <c r="A90" s="132"/>
      <c r="B90" s="109" t="s">
        <v>104</v>
      </c>
      <c r="C90" s="71">
        <f t="shared" si="19"/>
        <v>110.736527</v>
      </c>
      <c r="D90" s="71"/>
      <c r="E90" s="71"/>
      <c r="F90" s="71"/>
      <c r="G90" s="71"/>
      <c r="H90" s="71"/>
      <c r="I90" s="71"/>
      <c r="J90" s="71"/>
      <c r="K90" s="71">
        <f>'Biểu mẫu 02'!O36/1000000</f>
        <v>110.736527</v>
      </c>
      <c r="L90" s="71"/>
      <c r="M90" s="71"/>
      <c r="N90" s="71"/>
      <c r="O90" s="71"/>
      <c r="P90" s="71"/>
      <c r="Q90" s="71"/>
      <c r="R90" s="71"/>
    </row>
    <row r="91" spans="1:18" ht="26.4" x14ac:dyDescent="0.25">
      <c r="A91" s="132"/>
      <c r="B91" s="108" t="s">
        <v>175</v>
      </c>
      <c r="C91" s="71">
        <f t="shared" si="19"/>
        <v>30</v>
      </c>
      <c r="D91" s="71"/>
      <c r="E91" s="71"/>
      <c r="F91" s="71"/>
      <c r="G91" s="71"/>
      <c r="H91" s="71"/>
      <c r="I91" s="71"/>
      <c r="J91" s="71"/>
      <c r="K91" s="71">
        <f>'Biểu mẫu 02'!O39/1000000</f>
        <v>30</v>
      </c>
      <c r="L91" s="71"/>
      <c r="M91" s="71"/>
      <c r="N91" s="71"/>
      <c r="O91" s="71"/>
      <c r="P91" s="71"/>
      <c r="Q91" s="71"/>
      <c r="R91" s="71"/>
    </row>
    <row r="92" spans="1:18" ht="19.2" customHeight="1" x14ac:dyDescent="0.25">
      <c r="A92" s="132"/>
      <c r="B92" s="85" t="s">
        <v>318</v>
      </c>
      <c r="C92" s="71">
        <f t="shared" si="19"/>
        <v>502.22605299999998</v>
      </c>
      <c r="D92" s="71"/>
      <c r="E92" s="71"/>
      <c r="F92" s="71"/>
      <c r="G92" s="71"/>
      <c r="H92" s="71"/>
      <c r="I92" s="71"/>
      <c r="J92" s="71"/>
      <c r="K92" s="71"/>
      <c r="L92" s="71"/>
      <c r="M92" s="71"/>
      <c r="N92" s="71"/>
      <c r="O92" s="71"/>
      <c r="P92" s="71">
        <v>502.22605299999998</v>
      </c>
      <c r="Q92" s="71"/>
      <c r="R92" s="71"/>
    </row>
    <row r="93" spans="1:18" ht="19.2" customHeight="1" x14ac:dyDescent="0.25">
      <c r="A93" s="132"/>
      <c r="B93" s="85" t="s">
        <v>227</v>
      </c>
      <c r="C93" s="71">
        <f t="shared" si="19"/>
        <v>88</v>
      </c>
      <c r="D93" s="71"/>
      <c r="E93" s="71"/>
      <c r="F93" s="71"/>
      <c r="G93" s="71"/>
      <c r="H93" s="71"/>
      <c r="I93" s="71"/>
      <c r="J93" s="71"/>
      <c r="K93" s="71"/>
      <c r="L93" s="71"/>
      <c r="M93" s="71"/>
      <c r="N93" s="71"/>
      <c r="O93" s="71"/>
      <c r="P93" s="71">
        <v>88</v>
      </c>
      <c r="Q93" s="71"/>
      <c r="R93" s="71"/>
    </row>
    <row r="94" spans="1:18" ht="26.4" x14ac:dyDescent="0.25">
      <c r="A94" s="131"/>
      <c r="B94" s="70" t="s">
        <v>336</v>
      </c>
      <c r="C94" s="71">
        <f t="shared" si="19"/>
        <v>89.952129999999997</v>
      </c>
      <c r="D94" s="71"/>
      <c r="E94" s="71"/>
      <c r="F94" s="71">
        <f>'Biểu mẫu 02'!O87/1000000</f>
        <v>0.445743</v>
      </c>
      <c r="G94" s="71">
        <f>'Biểu mẫu 02'!O81/1000000</f>
        <v>2.3018459999999998</v>
      </c>
      <c r="H94" s="71"/>
      <c r="I94" s="71">
        <f>'Biểu mẫu 02'!O29/1000000</f>
        <v>1.678752</v>
      </c>
      <c r="J94" s="71">
        <f>'Biểu mẫu 02'!O34/1000000</f>
        <v>0.37561</v>
      </c>
      <c r="K94" s="71">
        <f>'Biểu mẫu 02'!O38/1000000</f>
        <v>0.44575500000000001</v>
      </c>
      <c r="L94" s="71">
        <f>'Biểu mẫu 02'!O62/1000000</f>
        <v>0.46310400000000002</v>
      </c>
      <c r="M94" s="71">
        <f>'Biểu mẫu 02'!O54/1000000</f>
        <v>5.0937799999999998</v>
      </c>
      <c r="N94" s="71"/>
      <c r="O94" s="71"/>
      <c r="P94" s="71">
        <f>'Biểu mẫu 02'!O67/1000000</f>
        <v>78.536002999999994</v>
      </c>
      <c r="Q94" s="71">
        <f>'Biểu mẫu 02'!O43/1000000</f>
        <v>0.611537</v>
      </c>
      <c r="R94" s="71"/>
    </row>
    <row r="95" spans="1:18" ht="19.2" customHeight="1" x14ac:dyDescent="0.25">
      <c r="A95" s="131" t="s">
        <v>5</v>
      </c>
      <c r="B95" s="70" t="s">
        <v>79</v>
      </c>
      <c r="C95" s="71">
        <f t="shared" si="19"/>
        <v>520.81299999999999</v>
      </c>
      <c r="D95" s="71"/>
      <c r="E95" s="71"/>
      <c r="F95" s="71"/>
      <c r="G95" s="71"/>
      <c r="H95" s="71"/>
      <c r="I95" s="71"/>
      <c r="J95" s="71"/>
      <c r="K95" s="71"/>
      <c r="L95" s="71"/>
      <c r="M95" s="71"/>
      <c r="N95" s="71"/>
      <c r="O95" s="71"/>
      <c r="P95" s="71">
        <f>'Phụ biểu 01'!F104/1000000</f>
        <v>520.81299999999999</v>
      </c>
      <c r="Q95" s="71"/>
      <c r="R95" s="71"/>
    </row>
    <row r="96" spans="1:18" ht="13.8" thickBot="1" x14ac:dyDescent="0.3">
      <c r="A96" s="87"/>
      <c r="B96" s="88"/>
      <c r="C96" s="89"/>
      <c r="D96" s="89"/>
      <c r="E96" s="89"/>
      <c r="F96" s="89"/>
      <c r="G96" s="89"/>
      <c r="H96" s="89"/>
      <c r="I96" s="89"/>
      <c r="J96" s="89"/>
      <c r="K96" s="89"/>
      <c r="L96" s="89"/>
      <c r="M96" s="89"/>
      <c r="N96" s="89"/>
      <c r="O96" s="89"/>
      <c r="P96" s="89"/>
      <c r="Q96" s="89"/>
      <c r="R96" s="89"/>
    </row>
    <row r="97" ht="13.8" thickTop="1" x14ac:dyDescent="0.25"/>
  </sheetData>
  <mergeCells count="22">
    <mergeCell ref="M7:M8"/>
    <mergeCell ref="N7:O7"/>
    <mergeCell ref="P7:P8"/>
    <mergeCell ref="Q7:Q8"/>
    <mergeCell ref="R7:R8"/>
    <mergeCell ref="L7:L8"/>
    <mergeCell ref="A7:A8"/>
    <mergeCell ref="B7:B8"/>
    <mergeCell ref="C7:C8"/>
    <mergeCell ref="D7:D8"/>
    <mergeCell ref="E7:E8"/>
    <mergeCell ref="F7:F8"/>
    <mergeCell ref="G7:G8"/>
    <mergeCell ref="H7:H8"/>
    <mergeCell ref="I7:I8"/>
    <mergeCell ref="J7:J8"/>
    <mergeCell ref="K7:K8"/>
    <mergeCell ref="T1:W1"/>
    <mergeCell ref="O1:R1"/>
    <mergeCell ref="A3:R3"/>
    <mergeCell ref="A4:R4"/>
    <mergeCell ref="P6:R6"/>
  </mergeCells>
  <pageMargins left="0.24" right="0.16" top="0.46" bottom="0.54" header="0.3" footer="0.3"/>
  <pageSetup paperSize="9" orientation="landscape" verticalDpi="0" r:id="rId1"/>
  <headerFooter>
    <oddFooter>&amp;C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M143"/>
  <sheetViews>
    <sheetView workbookViewId="0">
      <pane ySplit="7" topLeftCell="A23" activePane="bottomLeft" state="frozen"/>
      <selection pane="bottomLeft" activeCell="A12" sqref="A12:XFD12"/>
    </sheetView>
  </sheetViews>
  <sheetFormatPr defaultColWidth="9.109375" defaultRowHeight="15.6" x14ac:dyDescent="0.3"/>
  <cols>
    <col min="1" max="1" width="6.5546875" style="93" customWidth="1"/>
    <col min="2" max="2" width="21.88671875" style="94" customWidth="1"/>
    <col min="3" max="5" width="12.6640625" style="95" customWidth="1"/>
    <col min="6" max="6" width="13" style="95" customWidth="1"/>
    <col min="7" max="9" width="12.6640625" style="95" customWidth="1"/>
    <col min="10" max="10" width="12.88671875" style="95" customWidth="1"/>
    <col min="11" max="11" width="13" style="95" customWidth="1"/>
    <col min="12" max="12" width="16.88671875" style="93" bestFit="1" customWidth="1"/>
    <col min="13" max="16384" width="9.109375" style="93"/>
  </cols>
  <sheetData>
    <row r="1" spans="1:12" x14ac:dyDescent="0.3">
      <c r="I1" s="193" t="s">
        <v>337</v>
      </c>
      <c r="J1" s="193"/>
      <c r="K1" s="193"/>
    </row>
    <row r="2" spans="1:12" s="96" customFormat="1" x14ac:dyDescent="0.3">
      <c r="B2" s="193" t="s">
        <v>331</v>
      </c>
      <c r="C2" s="193"/>
      <c r="D2" s="193"/>
      <c r="E2" s="193"/>
      <c r="F2" s="193"/>
      <c r="G2" s="193"/>
      <c r="H2" s="193"/>
      <c r="I2" s="193"/>
      <c r="J2" s="193"/>
      <c r="K2" s="193"/>
    </row>
    <row r="3" spans="1:12" s="96" customFormat="1" x14ac:dyDescent="0.3">
      <c r="B3" s="193" t="s">
        <v>338</v>
      </c>
      <c r="C3" s="193"/>
      <c r="D3" s="193"/>
      <c r="E3" s="193"/>
      <c r="F3" s="193"/>
      <c r="G3" s="193"/>
      <c r="H3" s="193"/>
      <c r="I3" s="193"/>
      <c r="J3" s="193"/>
      <c r="K3" s="193"/>
    </row>
    <row r="4" spans="1:12" s="96" customFormat="1" x14ac:dyDescent="0.3">
      <c r="A4" s="201" t="str">
        <f>'Biểu mẫu 03'!A4:C4</f>
        <v>(Kèm theo Nghị quyết số:         /NQ-HNND ngày      /7/2025 của HĐND xã Sơn Hà)</v>
      </c>
      <c r="B4" s="201"/>
      <c r="C4" s="201"/>
      <c r="D4" s="201"/>
      <c r="E4" s="201"/>
      <c r="F4" s="201"/>
      <c r="G4" s="201"/>
      <c r="H4" s="201"/>
      <c r="I4" s="201"/>
      <c r="J4" s="201"/>
      <c r="K4" s="201"/>
    </row>
    <row r="5" spans="1:12" s="96" customFormat="1" ht="16.2" thickBot="1" x14ac:dyDescent="0.35">
      <c r="B5" s="194"/>
      <c r="C5" s="194"/>
      <c r="D5" s="194"/>
      <c r="E5" s="194"/>
      <c r="F5" s="194"/>
      <c r="G5" s="194"/>
      <c r="H5" s="194"/>
      <c r="I5" s="194"/>
      <c r="J5" s="194"/>
      <c r="K5" s="194"/>
    </row>
    <row r="6" spans="1:12" s="96" customFormat="1" ht="16.2" thickTop="1" x14ac:dyDescent="0.3">
      <c r="A6" s="195"/>
      <c r="B6" s="196"/>
      <c r="C6" s="198" t="s">
        <v>210</v>
      </c>
      <c r="D6" s="198"/>
      <c r="E6" s="198"/>
      <c r="F6" s="198"/>
      <c r="G6" s="198" t="s">
        <v>211</v>
      </c>
      <c r="H6" s="198"/>
      <c r="I6" s="198"/>
      <c r="J6" s="198"/>
      <c r="K6" s="199" t="s">
        <v>212</v>
      </c>
    </row>
    <row r="7" spans="1:12" s="96" customFormat="1" x14ac:dyDescent="0.3">
      <c r="A7" s="191"/>
      <c r="B7" s="197"/>
      <c r="C7" s="133" t="s">
        <v>213</v>
      </c>
      <c r="D7" s="133" t="s">
        <v>214</v>
      </c>
      <c r="E7" s="133" t="s">
        <v>215</v>
      </c>
      <c r="F7" s="133" t="s">
        <v>216</v>
      </c>
      <c r="G7" s="133" t="s">
        <v>213</v>
      </c>
      <c r="H7" s="133" t="s">
        <v>214</v>
      </c>
      <c r="I7" s="133" t="s">
        <v>215</v>
      </c>
      <c r="J7" s="133" t="s">
        <v>216</v>
      </c>
      <c r="K7" s="200"/>
    </row>
    <row r="8" spans="1:12" s="96" customFormat="1" ht="19.2" customHeight="1" x14ac:dyDescent="0.3">
      <c r="A8" s="148" t="s">
        <v>7</v>
      </c>
      <c r="B8" s="134" t="s">
        <v>217</v>
      </c>
      <c r="C8" s="150">
        <f>C9+C14+C19+C23+C30+C39+C44+C49+C54+C59+C65</f>
        <v>8510226191</v>
      </c>
      <c r="D8" s="150">
        <f t="shared" ref="D8:K8" si="0">D9+D14+D19+D23+D30+D39+D44+D49+D54+D59+D65</f>
        <v>7268424400</v>
      </c>
      <c r="E8" s="150">
        <f t="shared" si="0"/>
        <v>7498060635</v>
      </c>
      <c r="F8" s="150">
        <f t="shared" si="0"/>
        <v>23276711226</v>
      </c>
      <c r="G8" s="150">
        <f t="shared" si="0"/>
        <v>4240447495</v>
      </c>
      <c r="H8" s="150">
        <f t="shared" si="0"/>
        <v>3662366139</v>
      </c>
      <c r="I8" s="150">
        <f t="shared" si="0"/>
        <v>3893610703</v>
      </c>
      <c r="J8" s="150">
        <f t="shared" si="0"/>
        <v>11796424337</v>
      </c>
      <c r="K8" s="151">
        <f t="shared" si="0"/>
        <v>11480286889</v>
      </c>
      <c r="L8" s="97">
        <f>J8-'Biểu mẫu 02'!R29</f>
        <v>-3211965138</v>
      </c>
    </row>
    <row r="9" spans="1:12" s="96" customFormat="1" x14ac:dyDescent="0.3">
      <c r="A9" s="148" t="s">
        <v>218</v>
      </c>
      <c r="B9" s="135" t="s">
        <v>219</v>
      </c>
      <c r="C9" s="150">
        <f>SUM(C10:C13)</f>
        <v>357866040</v>
      </c>
      <c r="D9" s="150">
        <f t="shared" ref="D9:K9" si="1">SUM(D10:D13)</f>
        <v>463736240</v>
      </c>
      <c r="E9" s="150">
        <f t="shared" si="1"/>
        <v>281954157</v>
      </c>
      <c r="F9" s="150">
        <f t="shared" si="1"/>
        <v>1103556437</v>
      </c>
      <c r="G9" s="150">
        <f>SUM(G10:G13)</f>
        <v>196898654</v>
      </c>
      <c r="H9" s="150">
        <f t="shared" si="1"/>
        <v>239047365</v>
      </c>
      <c r="I9" s="150">
        <f t="shared" si="1"/>
        <v>185196610</v>
      </c>
      <c r="J9" s="150">
        <f t="shared" si="1"/>
        <v>621142629</v>
      </c>
      <c r="K9" s="151">
        <f t="shared" si="1"/>
        <v>482413808</v>
      </c>
    </row>
    <row r="10" spans="1:12" ht="28.2" x14ac:dyDescent="0.3">
      <c r="A10" s="149" t="s">
        <v>220</v>
      </c>
      <c r="B10" s="136" t="s">
        <v>221</v>
      </c>
      <c r="C10" s="152">
        <v>131112540</v>
      </c>
      <c r="D10" s="152">
        <v>158666039.99999997</v>
      </c>
      <c r="E10" s="152"/>
      <c r="F10" s="152">
        <f>SUM(C10:E10)</f>
        <v>289778580</v>
      </c>
      <c r="G10" s="152">
        <v>65414466</v>
      </c>
      <c r="H10" s="152">
        <v>79217892</v>
      </c>
      <c r="I10" s="152"/>
      <c r="J10" s="152">
        <f>SUM(G10:I10)</f>
        <v>144632358</v>
      </c>
      <c r="K10" s="153">
        <f>F10-J10</f>
        <v>145146222</v>
      </c>
    </row>
    <row r="11" spans="1:12" ht="24.6" customHeight="1" x14ac:dyDescent="0.3">
      <c r="A11" s="149" t="s">
        <v>222</v>
      </c>
      <c r="B11" s="136" t="s">
        <v>223</v>
      </c>
      <c r="C11" s="152">
        <v>131414400</v>
      </c>
      <c r="D11" s="152">
        <v>65707200</v>
      </c>
      <c r="E11" s="152">
        <v>65707200</v>
      </c>
      <c r="F11" s="152">
        <f t="shared" ref="F11:F76" si="2">SUM(C11:E11)</f>
        <v>262828800</v>
      </c>
      <c r="G11" s="152">
        <v>65707200</v>
      </c>
      <c r="H11" s="152">
        <v>32853600</v>
      </c>
      <c r="I11" s="152">
        <v>40709653</v>
      </c>
      <c r="J11" s="152">
        <f t="shared" ref="J11:J76" si="3">SUM(G11:I11)</f>
        <v>139270453</v>
      </c>
      <c r="K11" s="153">
        <f t="shared" ref="K11:K78" si="4">F11-J11</f>
        <v>123558347</v>
      </c>
    </row>
    <row r="12" spans="1:12" ht="22.8" customHeight="1" x14ac:dyDescent="0.3">
      <c r="A12" s="149" t="s">
        <v>224</v>
      </c>
      <c r="B12" s="136" t="s">
        <v>225</v>
      </c>
      <c r="C12" s="152"/>
      <c r="D12" s="152">
        <v>154176000</v>
      </c>
      <c r="E12" s="152">
        <v>154176000</v>
      </c>
      <c r="F12" s="152">
        <f t="shared" si="2"/>
        <v>308352000</v>
      </c>
      <c r="G12" s="154"/>
      <c r="H12" s="152">
        <v>70716000</v>
      </c>
      <c r="I12" s="152">
        <v>82416000</v>
      </c>
      <c r="J12" s="152">
        <f t="shared" si="3"/>
        <v>153132000</v>
      </c>
      <c r="K12" s="153">
        <f t="shared" si="4"/>
        <v>155220000</v>
      </c>
    </row>
    <row r="13" spans="1:12" ht="23.4" customHeight="1" x14ac:dyDescent="0.3">
      <c r="A13" s="149" t="s">
        <v>226</v>
      </c>
      <c r="B13" s="136" t="s">
        <v>227</v>
      </c>
      <c r="C13" s="152">
        <v>95339100</v>
      </c>
      <c r="D13" s="152">
        <v>85187000</v>
      </c>
      <c r="E13" s="152">
        <v>62070957</v>
      </c>
      <c r="F13" s="152">
        <f t="shared" si="2"/>
        <v>242597057</v>
      </c>
      <c r="G13" s="152">
        <v>65776988</v>
      </c>
      <c r="H13" s="152">
        <v>56259873</v>
      </c>
      <c r="I13" s="152">
        <v>62070957</v>
      </c>
      <c r="J13" s="152">
        <f>SUM(G13:I13)</f>
        <v>184107818</v>
      </c>
      <c r="K13" s="153">
        <f t="shared" si="4"/>
        <v>58489239</v>
      </c>
    </row>
    <row r="14" spans="1:12" s="96" customFormat="1" ht="18" customHeight="1" x14ac:dyDescent="0.3">
      <c r="A14" s="137" t="s">
        <v>228</v>
      </c>
      <c r="B14" s="135" t="s">
        <v>229</v>
      </c>
      <c r="C14" s="150">
        <f>SUM(C15:C18)</f>
        <v>700199230</v>
      </c>
      <c r="D14" s="150">
        <f t="shared" ref="D14:K14" si="5">SUM(D15:D18)</f>
        <v>395505000</v>
      </c>
      <c r="E14" s="150">
        <f t="shared" si="5"/>
        <v>422828524</v>
      </c>
      <c r="F14" s="150">
        <f t="shared" si="5"/>
        <v>1518532754</v>
      </c>
      <c r="G14" s="150">
        <f>SUM(G15:G18)</f>
        <v>346814605</v>
      </c>
      <c r="H14" s="150">
        <f t="shared" si="5"/>
        <v>164887000</v>
      </c>
      <c r="I14" s="150">
        <f t="shared" si="5"/>
        <v>225126300</v>
      </c>
      <c r="J14" s="150">
        <f t="shared" si="5"/>
        <v>736827905</v>
      </c>
      <c r="K14" s="151">
        <f t="shared" si="5"/>
        <v>781704849</v>
      </c>
    </row>
    <row r="15" spans="1:12" x14ac:dyDescent="0.3">
      <c r="A15" s="138">
        <v>1</v>
      </c>
      <c r="B15" s="139" t="s">
        <v>227</v>
      </c>
      <c r="C15" s="155">
        <v>98233230</v>
      </c>
      <c r="D15" s="152">
        <v>50048000</v>
      </c>
      <c r="E15" s="152">
        <v>41821524</v>
      </c>
      <c r="F15" s="152">
        <f>SUM(C15:E15)</f>
        <v>190102754</v>
      </c>
      <c r="G15" s="152">
        <v>59012305</v>
      </c>
      <c r="H15" s="152">
        <v>26017000</v>
      </c>
      <c r="I15" s="152">
        <v>34798300</v>
      </c>
      <c r="J15" s="152">
        <f>SUM(G15:I15)</f>
        <v>119827605</v>
      </c>
      <c r="K15" s="153">
        <f t="shared" si="4"/>
        <v>70275149</v>
      </c>
    </row>
    <row r="16" spans="1:12" x14ac:dyDescent="0.3">
      <c r="A16" s="138">
        <v>2</v>
      </c>
      <c r="B16" s="139" t="s">
        <v>73</v>
      </c>
      <c r="C16" s="152"/>
      <c r="D16" s="152">
        <v>49280000</v>
      </c>
      <c r="E16" s="152">
        <f>13297500*2</f>
        <v>26595000</v>
      </c>
      <c r="F16" s="152">
        <f>SUM(C16:E16)</f>
        <v>75875000</v>
      </c>
      <c r="G16" s="152"/>
      <c r="H16" s="152"/>
      <c r="I16" s="152">
        <f>13297500+11633500</f>
        <v>24931000</v>
      </c>
      <c r="J16" s="152">
        <f t="shared" ref="J16:J18" si="6">SUM(G16:I16)</f>
        <v>24931000</v>
      </c>
      <c r="K16" s="153">
        <f t="shared" si="4"/>
        <v>50944000</v>
      </c>
    </row>
    <row r="17" spans="1:12" ht="27.6" x14ac:dyDescent="0.3">
      <c r="A17" s="138">
        <v>3</v>
      </c>
      <c r="B17" s="139" t="s">
        <v>230</v>
      </c>
      <c r="C17" s="155">
        <v>5000000</v>
      </c>
      <c r="D17" s="152">
        <v>5000000</v>
      </c>
      <c r="E17" s="152">
        <v>5000000</v>
      </c>
      <c r="F17" s="152">
        <f t="shared" si="2"/>
        <v>15000000</v>
      </c>
      <c r="G17" s="152"/>
      <c r="H17" s="152">
        <v>0</v>
      </c>
      <c r="I17" s="152">
        <v>0</v>
      </c>
      <c r="J17" s="152">
        <f t="shared" si="6"/>
        <v>0</v>
      </c>
      <c r="K17" s="153">
        <f t="shared" si="4"/>
        <v>15000000</v>
      </c>
    </row>
    <row r="18" spans="1:12" ht="41.4" x14ac:dyDescent="0.3">
      <c r="A18" s="138">
        <v>4</v>
      </c>
      <c r="B18" s="139" t="s">
        <v>231</v>
      </c>
      <c r="C18" s="155">
        <v>596966000</v>
      </c>
      <c r="D18" s="152">
        <v>291177000</v>
      </c>
      <c r="E18" s="152">
        <v>349412000</v>
      </c>
      <c r="F18" s="152">
        <f t="shared" si="2"/>
        <v>1237555000</v>
      </c>
      <c r="G18" s="152">
        <v>287802300</v>
      </c>
      <c r="H18" s="152">
        <v>138870000</v>
      </c>
      <c r="I18" s="152">
        <v>165397000</v>
      </c>
      <c r="J18" s="152">
        <f t="shared" si="6"/>
        <v>592069300</v>
      </c>
      <c r="K18" s="153">
        <f t="shared" si="4"/>
        <v>645485700</v>
      </c>
    </row>
    <row r="19" spans="1:12" s="96" customFormat="1" ht="28.2" x14ac:dyDescent="0.3">
      <c r="A19" s="148" t="s">
        <v>232</v>
      </c>
      <c r="B19" s="135" t="s">
        <v>233</v>
      </c>
      <c r="C19" s="150">
        <f>SUM(C20:C22)</f>
        <v>563483640</v>
      </c>
      <c r="D19" s="150">
        <f t="shared" ref="D19:K19" si="7">SUM(D20:D22)</f>
        <v>498743680</v>
      </c>
      <c r="E19" s="150">
        <f t="shared" si="7"/>
        <v>423281900</v>
      </c>
      <c r="F19" s="150">
        <f t="shared" si="7"/>
        <v>1485509220</v>
      </c>
      <c r="G19" s="150">
        <f t="shared" si="7"/>
        <v>227535755</v>
      </c>
      <c r="H19" s="150">
        <f t="shared" si="7"/>
        <v>240115853</v>
      </c>
      <c r="I19" s="150">
        <f t="shared" si="7"/>
        <v>222858823</v>
      </c>
      <c r="J19" s="150">
        <f t="shared" si="7"/>
        <v>690510431</v>
      </c>
      <c r="K19" s="151">
        <f t="shared" si="7"/>
        <v>794998789</v>
      </c>
      <c r="L19" s="98">
        <f>F19+F23+F30+F39+F44+F49+F54+F59+F65</f>
        <v>20654622035</v>
      </c>
    </row>
    <row r="20" spans="1:12" ht="28.2" x14ac:dyDescent="0.3">
      <c r="A20" s="149">
        <v>1</v>
      </c>
      <c r="B20" s="136" t="s">
        <v>221</v>
      </c>
      <c r="C20" s="152">
        <v>192825360</v>
      </c>
      <c r="D20" s="152">
        <v>169041600</v>
      </c>
      <c r="E20" s="152">
        <v>159438000</v>
      </c>
      <c r="F20" s="152">
        <f t="shared" si="2"/>
        <v>521304960</v>
      </c>
      <c r="G20" s="152">
        <v>89874369</v>
      </c>
      <c r="H20" s="152">
        <v>84371040</v>
      </c>
      <c r="I20" s="152">
        <v>81000000</v>
      </c>
      <c r="J20" s="152">
        <f t="shared" si="3"/>
        <v>255245409</v>
      </c>
      <c r="K20" s="153">
        <f t="shared" si="4"/>
        <v>266059551</v>
      </c>
    </row>
    <row r="21" spans="1:12" ht="28.2" x14ac:dyDescent="0.3">
      <c r="A21" s="149">
        <v>2</v>
      </c>
      <c r="B21" s="136" t="s">
        <v>234</v>
      </c>
      <c r="C21" s="152">
        <v>193752000</v>
      </c>
      <c r="D21" s="152">
        <v>176904000</v>
      </c>
      <c r="E21" s="152">
        <v>160056000</v>
      </c>
      <c r="F21" s="152">
        <f t="shared" si="2"/>
        <v>530712000</v>
      </c>
      <c r="G21" s="152">
        <v>84240000</v>
      </c>
      <c r="H21" s="152">
        <v>80028000</v>
      </c>
      <c r="I21" s="152">
        <v>71604000</v>
      </c>
      <c r="J21" s="152">
        <f t="shared" si="3"/>
        <v>235872000</v>
      </c>
      <c r="K21" s="153">
        <f t="shared" si="4"/>
        <v>294840000</v>
      </c>
    </row>
    <row r="22" spans="1:12" x14ac:dyDescent="0.3">
      <c r="A22" s="149">
        <v>3</v>
      </c>
      <c r="B22" s="136" t="s">
        <v>227</v>
      </c>
      <c r="C22" s="152">
        <f>1263600+175642680</f>
        <v>176906280</v>
      </c>
      <c r="D22" s="152">
        <v>152798080</v>
      </c>
      <c r="E22" s="152">
        <v>103787900</v>
      </c>
      <c r="F22" s="152">
        <f t="shared" si="2"/>
        <v>433492260</v>
      </c>
      <c r="G22" s="152">
        <f>631800+52789586</f>
        <v>53421386</v>
      </c>
      <c r="H22" s="152">
        <v>75716813</v>
      </c>
      <c r="I22" s="152">
        <v>70254823</v>
      </c>
      <c r="J22" s="152">
        <f t="shared" si="3"/>
        <v>199393022</v>
      </c>
      <c r="K22" s="151">
        <f t="shared" si="4"/>
        <v>234099238</v>
      </c>
    </row>
    <row r="23" spans="1:12" s="96" customFormat="1" ht="28.2" x14ac:dyDescent="0.3">
      <c r="A23" s="148" t="s">
        <v>235</v>
      </c>
      <c r="B23" s="135" t="s">
        <v>236</v>
      </c>
      <c r="C23" s="150">
        <f>SUM(C24:C29)</f>
        <v>3753229861</v>
      </c>
      <c r="D23" s="150">
        <f t="shared" ref="D23:K23" si="8">SUM(D24:D29)</f>
        <v>2993645620</v>
      </c>
      <c r="E23" s="150">
        <f t="shared" si="8"/>
        <v>3515924004</v>
      </c>
      <c r="F23" s="150">
        <f t="shared" si="8"/>
        <v>10262799485</v>
      </c>
      <c r="G23" s="150">
        <f t="shared" si="8"/>
        <v>1881318479</v>
      </c>
      <c r="H23" s="150">
        <f t="shared" si="8"/>
        <v>1593348030</v>
      </c>
      <c r="I23" s="150">
        <f t="shared" si="8"/>
        <v>1909805177</v>
      </c>
      <c r="J23" s="150">
        <f t="shared" si="8"/>
        <v>5384471686</v>
      </c>
      <c r="K23" s="151">
        <f t="shared" si="8"/>
        <v>4878327799</v>
      </c>
      <c r="L23" s="98">
        <f>I19+I23</f>
        <v>2132664000</v>
      </c>
    </row>
    <row r="24" spans="1:12" ht="28.2" x14ac:dyDescent="0.3">
      <c r="A24" s="149">
        <v>1</v>
      </c>
      <c r="B24" s="136" t="s">
        <v>221</v>
      </c>
      <c r="C24" s="152">
        <v>1895905440</v>
      </c>
      <c r="D24" s="152">
        <v>1621473100</v>
      </c>
      <c r="E24" s="152">
        <v>2296420000</v>
      </c>
      <c r="F24" s="152">
        <f t="shared" si="2"/>
        <v>5813798540</v>
      </c>
      <c r="G24" s="152">
        <v>845155976</v>
      </c>
      <c r="H24" s="152">
        <v>867575021</v>
      </c>
      <c r="I24" s="152">
        <v>1286807303</v>
      </c>
      <c r="J24" s="152">
        <f t="shared" si="3"/>
        <v>2999538300</v>
      </c>
      <c r="K24" s="153">
        <f t="shared" si="4"/>
        <v>2814260240</v>
      </c>
      <c r="L24" s="93">
        <v>2096755060</v>
      </c>
    </row>
    <row r="25" spans="1:12" x14ac:dyDescent="0.3">
      <c r="A25" s="149">
        <v>2</v>
      </c>
      <c r="B25" s="136" t="s">
        <v>223</v>
      </c>
      <c r="C25" s="152">
        <v>315057600</v>
      </c>
      <c r="D25" s="152">
        <v>249350200</v>
      </c>
      <c r="E25" s="152">
        <f>131414400+104457600</f>
        <v>235872000</v>
      </c>
      <c r="F25" s="152">
        <f t="shared" si="2"/>
        <v>800279800</v>
      </c>
      <c r="G25" s="152">
        <v>167183091</v>
      </c>
      <c r="H25" s="152">
        <v>124675200</v>
      </c>
      <c r="I25" s="152">
        <f>65707200+52228800</f>
        <v>117936000</v>
      </c>
      <c r="J25" s="152">
        <f t="shared" si="3"/>
        <v>409794291</v>
      </c>
      <c r="K25" s="153">
        <f t="shared" si="4"/>
        <v>390485509</v>
      </c>
      <c r="L25" s="99">
        <f>L23-L24</f>
        <v>35908940</v>
      </c>
    </row>
    <row r="26" spans="1:12" x14ac:dyDescent="0.3">
      <c r="A26" s="149">
        <v>3</v>
      </c>
      <c r="B26" s="136" t="s">
        <v>237</v>
      </c>
      <c r="C26" s="152">
        <v>393120000</v>
      </c>
      <c r="D26" s="152">
        <v>213408000</v>
      </c>
      <c r="E26" s="152">
        <f>56160000+210600000</f>
        <v>266760000</v>
      </c>
      <c r="F26" s="152">
        <f t="shared" si="2"/>
        <v>873288000</v>
      </c>
      <c r="G26" s="152">
        <v>203580000</v>
      </c>
      <c r="H26" s="152">
        <v>116532000</v>
      </c>
      <c r="I26" s="152">
        <f>28080000+105300000</f>
        <v>133380000</v>
      </c>
      <c r="J26" s="152">
        <f t="shared" si="3"/>
        <v>453492000</v>
      </c>
      <c r="K26" s="153">
        <f t="shared" si="4"/>
        <v>419796000</v>
      </c>
    </row>
    <row r="27" spans="1:12" x14ac:dyDescent="0.3">
      <c r="A27" s="149">
        <v>4</v>
      </c>
      <c r="B27" s="136" t="s">
        <v>238</v>
      </c>
      <c r="C27" s="152">
        <v>48000000</v>
      </c>
      <c r="D27" s="152">
        <v>48000000</v>
      </c>
      <c r="E27" s="152">
        <v>48000000</v>
      </c>
      <c r="F27" s="152">
        <f t="shared" si="2"/>
        <v>144000000</v>
      </c>
      <c r="G27" s="152">
        <v>24000000</v>
      </c>
      <c r="H27" s="152">
        <v>19200000</v>
      </c>
      <c r="I27" s="152">
        <v>24000000</v>
      </c>
      <c r="J27" s="152">
        <f t="shared" si="3"/>
        <v>67200000</v>
      </c>
      <c r="K27" s="153">
        <f t="shared" si="4"/>
        <v>76800000</v>
      </c>
    </row>
    <row r="28" spans="1:12" x14ac:dyDescent="0.3">
      <c r="A28" s="149">
        <v>5</v>
      </c>
      <c r="B28" s="136" t="s">
        <v>239</v>
      </c>
      <c r="C28" s="152"/>
      <c r="D28" s="152">
        <v>90000000</v>
      </c>
      <c r="E28" s="152">
        <v>75352500</v>
      </c>
      <c r="F28" s="152">
        <f t="shared" si="2"/>
        <v>165352500</v>
      </c>
      <c r="G28" s="152"/>
      <c r="H28" s="152">
        <v>0</v>
      </c>
      <c r="I28" s="152">
        <v>32000000</v>
      </c>
      <c r="J28" s="152">
        <f t="shared" si="3"/>
        <v>32000000</v>
      </c>
      <c r="K28" s="153">
        <f t="shared" si="4"/>
        <v>133352500</v>
      </c>
    </row>
    <row r="29" spans="1:12" x14ac:dyDescent="0.3">
      <c r="A29" s="149">
        <v>6</v>
      </c>
      <c r="B29" s="136" t="s">
        <v>240</v>
      </c>
      <c r="C29" s="152">
        <f>1045946821+55200000</f>
        <v>1101146821</v>
      </c>
      <c r="D29" s="152">
        <f>731414320+40000000</f>
        <v>771414320</v>
      </c>
      <c r="E29" s="152">
        <f>573519504+20000000</f>
        <v>593519504</v>
      </c>
      <c r="F29" s="152">
        <f t="shared" si="2"/>
        <v>2466080645</v>
      </c>
      <c r="G29" s="152">
        <f>622999412+18400000</f>
        <v>641399412</v>
      </c>
      <c r="H29" s="152">
        <f>425365809+40000000</f>
        <v>465365809</v>
      </c>
      <c r="I29" s="152">
        <f>295681874+20000000</f>
        <v>315681874</v>
      </c>
      <c r="J29" s="152">
        <f t="shared" si="3"/>
        <v>1422447095</v>
      </c>
      <c r="K29" s="153">
        <f t="shared" si="4"/>
        <v>1043633550</v>
      </c>
    </row>
    <row r="30" spans="1:12" s="96" customFormat="1" x14ac:dyDescent="0.3">
      <c r="A30" s="148" t="s">
        <v>241</v>
      </c>
      <c r="B30" s="135" t="s">
        <v>242</v>
      </c>
      <c r="C30" s="150">
        <f>SUM(C31:C38)</f>
        <v>1413011180</v>
      </c>
      <c r="D30" s="150">
        <f>SUM(D31:D38)</f>
        <v>1193974820</v>
      </c>
      <c r="E30" s="150">
        <f>SUM(E31:E38)</f>
        <v>1254836400</v>
      </c>
      <c r="F30" s="150">
        <f t="shared" ref="F30:K30" si="9">SUM(F31:F38)</f>
        <v>3861822400</v>
      </c>
      <c r="G30" s="150">
        <f t="shared" si="9"/>
        <v>699664601</v>
      </c>
      <c r="H30" s="150">
        <f t="shared" si="9"/>
        <v>549203412</v>
      </c>
      <c r="I30" s="150">
        <f t="shared" si="9"/>
        <v>554470845</v>
      </c>
      <c r="J30" s="150">
        <f t="shared" si="9"/>
        <v>1803338858</v>
      </c>
      <c r="K30" s="151">
        <f t="shared" si="9"/>
        <v>2058483542</v>
      </c>
    </row>
    <row r="31" spans="1:12" ht="28.2" x14ac:dyDescent="0.3">
      <c r="A31" s="149">
        <v>1</v>
      </c>
      <c r="B31" s="136" t="s">
        <v>221</v>
      </c>
      <c r="C31" s="152">
        <v>309855780</v>
      </c>
      <c r="D31" s="152">
        <v>448725420</v>
      </c>
      <c r="E31" s="152">
        <v>373214000</v>
      </c>
      <c r="F31" s="152">
        <f t="shared" si="2"/>
        <v>1131795200</v>
      </c>
      <c r="G31" s="152">
        <v>161408988</v>
      </c>
      <c r="H31" s="152">
        <v>223994394</v>
      </c>
      <c r="I31" s="152">
        <v>197896079</v>
      </c>
      <c r="J31" s="152">
        <f t="shared" si="3"/>
        <v>583299461</v>
      </c>
      <c r="K31" s="153">
        <f t="shared" si="4"/>
        <v>548495739</v>
      </c>
    </row>
    <row r="32" spans="1:12" x14ac:dyDescent="0.3">
      <c r="A32" s="149">
        <v>2</v>
      </c>
      <c r="B32" s="136" t="s">
        <v>223</v>
      </c>
      <c r="C32" s="152">
        <v>131414400</v>
      </c>
      <c r="D32" s="152">
        <v>131414400</v>
      </c>
      <c r="E32" s="152">
        <v>131414400</v>
      </c>
      <c r="F32" s="152">
        <f t="shared" si="2"/>
        <v>394243200</v>
      </c>
      <c r="G32" s="152">
        <v>65707200</v>
      </c>
      <c r="H32" s="152">
        <v>65707200</v>
      </c>
      <c r="I32" s="152">
        <v>49608000</v>
      </c>
      <c r="J32" s="152">
        <f t="shared" si="3"/>
        <v>181022400</v>
      </c>
      <c r="K32" s="153">
        <f t="shared" si="4"/>
        <v>213220800</v>
      </c>
    </row>
    <row r="33" spans="1:12" x14ac:dyDescent="0.3">
      <c r="A33" s="149">
        <v>3</v>
      </c>
      <c r="B33" s="136" t="s">
        <v>237</v>
      </c>
      <c r="C33" s="152">
        <v>398736000</v>
      </c>
      <c r="D33" s="152">
        <v>221832000</v>
      </c>
      <c r="E33" s="152">
        <v>279396000</v>
      </c>
      <c r="F33" s="152">
        <f t="shared" si="2"/>
        <v>899964000</v>
      </c>
      <c r="G33" s="152">
        <v>203580000</v>
      </c>
      <c r="H33" s="152">
        <v>114660000</v>
      </c>
      <c r="I33" s="152">
        <v>139698000</v>
      </c>
      <c r="J33" s="152">
        <f t="shared" si="3"/>
        <v>457938000</v>
      </c>
      <c r="K33" s="153">
        <f t="shared" si="4"/>
        <v>442026000</v>
      </c>
    </row>
    <row r="34" spans="1:12" x14ac:dyDescent="0.3">
      <c r="A34" s="149">
        <v>4</v>
      </c>
      <c r="B34" s="136" t="s">
        <v>243</v>
      </c>
      <c r="C34" s="152">
        <v>109512000</v>
      </c>
      <c r="D34" s="152">
        <v>92664000</v>
      </c>
      <c r="E34" s="152">
        <v>109512000</v>
      </c>
      <c r="F34" s="152">
        <f t="shared" si="2"/>
        <v>311688000</v>
      </c>
      <c r="G34" s="152">
        <v>44226000</v>
      </c>
      <c r="H34" s="152">
        <v>42120000</v>
      </c>
      <c r="I34" s="152">
        <v>54756000</v>
      </c>
      <c r="J34" s="152">
        <f t="shared" si="3"/>
        <v>141102000</v>
      </c>
      <c r="K34" s="153">
        <f t="shared" si="4"/>
        <v>170586000</v>
      </c>
    </row>
    <row r="35" spans="1:12" x14ac:dyDescent="0.3">
      <c r="A35" s="149">
        <v>5</v>
      </c>
      <c r="B35" s="136" t="s">
        <v>244</v>
      </c>
      <c r="C35" s="152">
        <v>167384000</v>
      </c>
      <c r="D35" s="152">
        <v>128453000</v>
      </c>
      <c r="E35" s="152">
        <v>148697000</v>
      </c>
      <c r="F35" s="152">
        <f t="shared" si="2"/>
        <v>444534000</v>
      </c>
      <c r="G35" s="152">
        <v>0</v>
      </c>
      <c r="H35" s="152">
        <v>33198000</v>
      </c>
      <c r="I35" s="152">
        <v>0</v>
      </c>
      <c r="J35" s="152">
        <f t="shared" si="3"/>
        <v>33198000</v>
      </c>
      <c r="K35" s="153">
        <f t="shared" si="4"/>
        <v>411336000</v>
      </c>
      <c r="L35" s="99">
        <f>F39+F44+F49+F54+F59</f>
        <v>4985522930</v>
      </c>
    </row>
    <row r="36" spans="1:12" x14ac:dyDescent="0.3">
      <c r="A36" s="149">
        <v>6</v>
      </c>
      <c r="B36" s="136" t="s">
        <v>227</v>
      </c>
      <c r="C36" s="152"/>
      <c r="D36" s="152"/>
      <c r="E36" s="152"/>
      <c r="F36" s="152">
        <f t="shared" si="2"/>
        <v>0</v>
      </c>
      <c r="G36" s="152"/>
      <c r="H36" s="152"/>
      <c r="I36" s="152"/>
      <c r="J36" s="152">
        <f t="shared" si="3"/>
        <v>0</v>
      </c>
      <c r="K36" s="153"/>
    </row>
    <row r="37" spans="1:12" x14ac:dyDescent="0.3">
      <c r="A37" s="149"/>
      <c r="B37" s="136" t="s">
        <v>245</v>
      </c>
      <c r="C37" s="152">
        <v>91800000</v>
      </c>
      <c r="D37" s="152">
        <v>58246000</v>
      </c>
      <c r="E37" s="152">
        <v>70592000</v>
      </c>
      <c r="F37" s="152">
        <f t="shared" si="2"/>
        <v>220638000</v>
      </c>
      <c r="G37" s="152">
        <v>45900000</v>
      </c>
      <c r="H37" s="152">
        <v>30000000</v>
      </c>
      <c r="I37" s="152">
        <v>16592000</v>
      </c>
      <c r="J37" s="152">
        <f t="shared" si="3"/>
        <v>92492000</v>
      </c>
      <c r="K37" s="153">
        <f t="shared" si="4"/>
        <v>128146000</v>
      </c>
    </row>
    <row r="38" spans="1:12" x14ac:dyDescent="0.3">
      <c r="A38" s="149"/>
      <c r="B38" s="136" t="s">
        <v>240</v>
      </c>
      <c r="C38" s="152">
        <v>204309000</v>
      </c>
      <c r="D38" s="152">
        <v>112640000</v>
      </c>
      <c r="E38" s="152">
        <v>142011000</v>
      </c>
      <c r="F38" s="152">
        <f t="shared" si="2"/>
        <v>458960000</v>
      </c>
      <c r="G38" s="152">
        <v>178842413</v>
      </c>
      <c r="H38" s="152">
        <v>39523818</v>
      </c>
      <c r="I38" s="152">
        <v>95920766</v>
      </c>
      <c r="J38" s="152">
        <f t="shared" si="3"/>
        <v>314286997</v>
      </c>
      <c r="K38" s="153">
        <f t="shared" si="4"/>
        <v>144673003</v>
      </c>
    </row>
    <row r="39" spans="1:12" s="96" customFormat="1" ht="28.2" x14ac:dyDescent="0.3">
      <c r="A39" s="148" t="s">
        <v>246</v>
      </c>
      <c r="B39" s="135" t="s">
        <v>247</v>
      </c>
      <c r="C39" s="150">
        <f>SUM(C40:C43)</f>
        <v>268494020</v>
      </c>
      <c r="D39" s="150">
        <f>SUM(D40:D43)</f>
        <v>297865460</v>
      </c>
      <c r="E39" s="150">
        <f>SUM(E40:E43)</f>
        <v>214405250</v>
      </c>
      <c r="F39" s="150">
        <f t="shared" ref="F39:K39" si="10">SUM(F40:F43)</f>
        <v>780764730</v>
      </c>
      <c r="G39" s="150">
        <f t="shared" si="10"/>
        <v>118887755</v>
      </c>
      <c r="H39" s="150">
        <f t="shared" si="10"/>
        <v>151542873</v>
      </c>
      <c r="I39" s="150">
        <f t="shared" si="10"/>
        <v>151692873</v>
      </c>
      <c r="J39" s="150">
        <f t="shared" si="10"/>
        <v>422123501</v>
      </c>
      <c r="K39" s="150">
        <f t="shared" si="10"/>
        <v>358641229</v>
      </c>
    </row>
    <row r="40" spans="1:12" ht="28.2" x14ac:dyDescent="0.3">
      <c r="A40" s="149">
        <v>1</v>
      </c>
      <c r="B40" s="136" t="s">
        <v>221</v>
      </c>
      <c r="C40" s="152">
        <v>108746820</v>
      </c>
      <c r="D40" s="152">
        <v>160498260</v>
      </c>
      <c r="E40" s="152">
        <v>81653000</v>
      </c>
      <c r="F40" s="152">
        <f t="shared" si="2"/>
        <v>350898080</v>
      </c>
      <c r="G40" s="152">
        <v>54256878</v>
      </c>
      <c r="H40" s="152">
        <v>81796689</v>
      </c>
      <c r="I40" s="152">
        <v>81653000</v>
      </c>
      <c r="J40" s="152">
        <f t="shared" si="3"/>
        <v>217706567</v>
      </c>
      <c r="K40" s="153">
        <f t="shared" si="4"/>
        <v>133191513</v>
      </c>
    </row>
    <row r="41" spans="1:12" ht="28.2" x14ac:dyDescent="0.3">
      <c r="A41" s="149">
        <v>2</v>
      </c>
      <c r="B41" s="136" t="s">
        <v>248</v>
      </c>
      <c r="C41" s="152">
        <v>65707200</v>
      </c>
      <c r="D41" s="152">
        <v>65707200</v>
      </c>
      <c r="E41" s="152">
        <v>58968000</v>
      </c>
      <c r="F41" s="152">
        <f t="shared" si="2"/>
        <v>190382400</v>
      </c>
      <c r="G41" s="152">
        <v>14051700</v>
      </c>
      <c r="H41" s="152">
        <v>32853600</v>
      </c>
      <c r="I41" s="152">
        <v>32853600</v>
      </c>
      <c r="J41" s="152">
        <f t="shared" si="3"/>
        <v>79758900</v>
      </c>
      <c r="K41" s="153">
        <f t="shared" si="4"/>
        <v>110623500</v>
      </c>
      <c r="L41" s="99">
        <f>F39+F44+F49+F54+F59</f>
        <v>4985522930</v>
      </c>
    </row>
    <row r="42" spans="1:12" ht="28.2" x14ac:dyDescent="0.3">
      <c r="A42" s="149">
        <v>3</v>
      </c>
      <c r="B42" s="136" t="s">
        <v>249</v>
      </c>
      <c r="C42" s="152">
        <v>64800000</v>
      </c>
      <c r="D42" s="152">
        <v>36000000</v>
      </c>
      <c r="E42" s="152">
        <v>43200000</v>
      </c>
      <c r="F42" s="152">
        <f t="shared" si="2"/>
        <v>144000000</v>
      </c>
      <c r="G42" s="152">
        <v>32400000</v>
      </c>
      <c r="H42" s="152">
        <v>18000000</v>
      </c>
      <c r="I42" s="152">
        <v>21600000</v>
      </c>
      <c r="J42" s="152">
        <f t="shared" si="3"/>
        <v>72000000</v>
      </c>
      <c r="K42" s="153">
        <f t="shared" si="4"/>
        <v>72000000</v>
      </c>
    </row>
    <row r="43" spans="1:12" x14ac:dyDescent="0.3">
      <c r="A43" s="149">
        <v>4</v>
      </c>
      <c r="B43" s="136" t="s">
        <v>227</v>
      </c>
      <c r="C43" s="152">
        <v>29240000</v>
      </c>
      <c r="D43" s="152">
        <v>35660000</v>
      </c>
      <c r="E43" s="152">
        <v>30584250</v>
      </c>
      <c r="F43" s="152">
        <f t="shared" si="2"/>
        <v>95484250</v>
      </c>
      <c r="G43" s="152">
        <v>18179177</v>
      </c>
      <c r="H43" s="152">
        <v>18892584</v>
      </c>
      <c r="I43" s="152">
        <v>15586273</v>
      </c>
      <c r="J43" s="152">
        <f t="shared" si="3"/>
        <v>52658034</v>
      </c>
      <c r="K43" s="153">
        <f t="shared" si="4"/>
        <v>42826216</v>
      </c>
    </row>
    <row r="44" spans="1:12" s="96" customFormat="1" x14ac:dyDescent="0.3">
      <c r="A44" s="148" t="s">
        <v>250</v>
      </c>
      <c r="B44" s="135" t="s">
        <v>251</v>
      </c>
      <c r="C44" s="150">
        <f>SUM(C45:C48)</f>
        <v>268494020</v>
      </c>
      <c r="D44" s="150">
        <f>SUM(D45:D48)</f>
        <v>329033780</v>
      </c>
      <c r="E44" s="150">
        <f>SUM(E45:E48)</f>
        <v>218861050</v>
      </c>
      <c r="F44" s="150">
        <f t="shared" ref="F44:K44" si="11">SUM(F45:F48)</f>
        <v>816388850</v>
      </c>
      <c r="G44" s="150">
        <f t="shared" si="11"/>
        <v>161895335</v>
      </c>
      <c r="H44" s="150">
        <f t="shared" si="11"/>
        <v>168197099</v>
      </c>
      <c r="I44" s="150">
        <f t="shared" si="11"/>
        <v>74720563</v>
      </c>
      <c r="J44" s="150">
        <f t="shared" si="11"/>
        <v>404812997</v>
      </c>
      <c r="K44" s="151">
        <f t="shared" si="11"/>
        <v>411575853</v>
      </c>
    </row>
    <row r="45" spans="1:12" ht="28.2" x14ac:dyDescent="0.3">
      <c r="A45" s="149">
        <v>1</v>
      </c>
      <c r="B45" s="136" t="s">
        <v>221</v>
      </c>
      <c r="C45" s="152">
        <v>108746820</v>
      </c>
      <c r="D45" s="152">
        <v>194306580</v>
      </c>
      <c r="E45" s="152">
        <v>92848000</v>
      </c>
      <c r="F45" s="152">
        <f t="shared" si="2"/>
        <v>395901400</v>
      </c>
      <c r="G45" s="152">
        <v>54256878</v>
      </c>
      <c r="H45" s="152">
        <v>96974982</v>
      </c>
      <c r="I45" s="152">
        <v>15556163</v>
      </c>
      <c r="J45" s="152">
        <f t="shared" si="3"/>
        <v>166788023</v>
      </c>
      <c r="K45" s="153">
        <f t="shared" si="4"/>
        <v>229113377</v>
      </c>
    </row>
    <row r="46" spans="1:12" x14ac:dyDescent="0.3">
      <c r="A46" s="149">
        <v>2</v>
      </c>
      <c r="B46" s="136" t="s">
        <v>223</v>
      </c>
      <c r="C46" s="152">
        <v>65707200</v>
      </c>
      <c r="D46" s="152">
        <v>65707200</v>
      </c>
      <c r="E46" s="152">
        <v>52228800</v>
      </c>
      <c r="F46" s="152">
        <f t="shared" si="2"/>
        <v>183643200</v>
      </c>
      <c r="G46" s="152">
        <v>51246000</v>
      </c>
      <c r="H46" s="152">
        <v>32853600</v>
      </c>
      <c r="I46" s="152">
        <v>26114400</v>
      </c>
      <c r="J46" s="152">
        <f t="shared" si="3"/>
        <v>110214000</v>
      </c>
      <c r="K46" s="153">
        <f t="shared" si="4"/>
        <v>73429200</v>
      </c>
    </row>
    <row r="47" spans="1:12" ht="28.2" x14ac:dyDescent="0.3">
      <c r="A47" s="149">
        <v>3</v>
      </c>
      <c r="B47" s="136" t="s">
        <v>249</v>
      </c>
      <c r="C47" s="152">
        <v>64800000</v>
      </c>
      <c r="D47" s="152">
        <v>36000000</v>
      </c>
      <c r="E47" s="152">
        <v>43200000</v>
      </c>
      <c r="F47" s="152">
        <f t="shared" si="2"/>
        <v>144000000</v>
      </c>
      <c r="G47" s="152">
        <v>32400000</v>
      </c>
      <c r="H47" s="152">
        <v>18000000</v>
      </c>
      <c r="I47" s="152">
        <v>21600000</v>
      </c>
      <c r="J47" s="152">
        <f t="shared" si="3"/>
        <v>72000000</v>
      </c>
      <c r="K47" s="153">
        <f t="shared" si="4"/>
        <v>72000000</v>
      </c>
    </row>
    <row r="48" spans="1:12" x14ac:dyDescent="0.3">
      <c r="A48" s="149">
        <v>4</v>
      </c>
      <c r="B48" s="136" t="s">
        <v>227</v>
      </c>
      <c r="C48" s="152">
        <v>29240000</v>
      </c>
      <c r="D48" s="152">
        <v>33020000</v>
      </c>
      <c r="E48" s="152">
        <v>30584250</v>
      </c>
      <c r="F48" s="152">
        <f t="shared" si="2"/>
        <v>92844250</v>
      </c>
      <c r="G48" s="152">
        <v>23992457</v>
      </c>
      <c r="H48" s="152">
        <v>20368517</v>
      </c>
      <c r="I48" s="152">
        <v>11450000</v>
      </c>
      <c r="J48" s="152">
        <f t="shared" si="3"/>
        <v>55810974</v>
      </c>
      <c r="K48" s="153">
        <f t="shared" si="4"/>
        <v>37033276</v>
      </c>
    </row>
    <row r="49" spans="1:11" s="96" customFormat="1" ht="28.2" x14ac:dyDescent="0.3">
      <c r="A49" s="148" t="s">
        <v>252</v>
      </c>
      <c r="B49" s="135" t="s">
        <v>253</v>
      </c>
      <c r="C49" s="150">
        <f>SUM(C50:C53)</f>
        <v>282161960</v>
      </c>
      <c r="D49" s="150">
        <f t="shared" ref="D49:K49" si="12">SUM(D50:D53)</f>
        <v>287657900</v>
      </c>
      <c r="E49" s="150">
        <f t="shared" si="12"/>
        <v>320038450</v>
      </c>
      <c r="F49" s="150">
        <f t="shared" si="12"/>
        <v>889858310</v>
      </c>
      <c r="G49" s="150">
        <f t="shared" si="12"/>
        <v>154175780</v>
      </c>
      <c r="H49" s="150">
        <f t="shared" si="12"/>
        <v>139256717</v>
      </c>
      <c r="I49" s="150">
        <f t="shared" si="12"/>
        <v>158407679</v>
      </c>
      <c r="J49" s="150">
        <f t="shared" si="12"/>
        <v>451840176</v>
      </c>
      <c r="K49" s="151">
        <f t="shared" si="12"/>
        <v>438018134</v>
      </c>
    </row>
    <row r="50" spans="1:11" ht="28.2" x14ac:dyDescent="0.3">
      <c r="A50" s="149">
        <v>1</v>
      </c>
      <c r="B50" s="136" t="s">
        <v>221</v>
      </c>
      <c r="C50" s="152">
        <v>122414760</v>
      </c>
      <c r="D50" s="152">
        <v>152930700</v>
      </c>
      <c r="E50" s="152">
        <v>180547000</v>
      </c>
      <c r="F50" s="152">
        <f t="shared" si="2"/>
        <v>455892460</v>
      </c>
      <c r="G50" s="152">
        <v>67893930</v>
      </c>
      <c r="H50" s="152">
        <v>77441481</v>
      </c>
      <c r="I50" s="152">
        <v>90754079</v>
      </c>
      <c r="J50" s="152">
        <f t="shared" si="3"/>
        <v>236089490</v>
      </c>
      <c r="K50" s="153">
        <f t="shared" si="4"/>
        <v>219802970</v>
      </c>
    </row>
    <row r="51" spans="1:11" x14ac:dyDescent="0.3">
      <c r="A51" s="149">
        <v>2</v>
      </c>
      <c r="B51" s="136" t="s">
        <v>223</v>
      </c>
      <c r="C51" s="152">
        <v>65707200</v>
      </c>
      <c r="D51" s="152">
        <v>65707200</v>
      </c>
      <c r="E51" s="152">
        <v>65707200</v>
      </c>
      <c r="F51" s="152">
        <f t="shared" si="2"/>
        <v>197121600</v>
      </c>
      <c r="G51" s="152">
        <v>32853600</v>
      </c>
      <c r="H51" s="152">
        <v>32853600</v>
      </c>
      <c r="I51" s="152">
        <v>32853600</v>
      </c>
      <c r="J51" s="152">
        <f t="shared" si="3"/>
        <v>98560800</v>
      </c>
      <c r="K51" s="153">
        <f t="shared" si="4"/>
        <v>98560800</v>
      </c>
    </row>
    <row r="52" spans="1:11" ht="28.2" x14ac:dyDescent="0.3">
      <c r="A52" s="149">
        <v>3</v>
      </c>
      <c r="B52" s="136" t="s">
        <v>249</v>
      </c>
      <c r="C52" s="152">
        <v>64800000</v>
      </c>
      <c r="D52" s="152">
        <v>36000000</v>
      </c>
      <c r="E52" s="152">
        <v>43200000</v>
      </c>
      <c r="F52" s="152">
        <f t="shared" si="2"/>
        <v>144000000</v>
      </c>
      <c r="G52" s="152">
        <v>32400000</v>
      </c>
      <c r="H52" s="152">
        <v>18000000</v>
      </c>
      <c r="I52" s="152">
        <v>21600000</v>
      </c>
      <c r="J52" s="152">
        <f t="shared" si="3"/>
        <v>72000000</v>
      </c>
      <c r="K52" s="153">
        <f t="shared" si="4"/>
        <v>72000000</v>
      </c>
    </row>
    <row r="53" spans="1:11" x14ac:dyDescent="0.3">
      <c r="A53" s="149">
        <v>4</v>
      </c>
      <c r="B53" s="136" t="s">
        <v>227</v>
      </c>
      <c r="C53" s="152">
        <v>29240000</v>
      </c>
      <c r="D53" s="152">
        <v>33020000</v>
      </c>
      <c r="E53" s="152">
        <v>30584250</v>
      </c>
      <c r="F53" s="152">
        <f t="shared" si="2"/>
        <v>92844250</v>
      </c>
      <c r="G53" s="152">
        <v>21028250</v>
      </c>
      <c r="H53" s="152">
        <v>10961636</v>
      </c>
      <c r="I53" s="152">
        <v>13200000</v>
      </c>
      <c r="J53" s="152">
        <f t="shared" si="3"/>
        <v>45189886</v>
      </c>
      <c r="K53" s="153">
        <f t="shared" si="4"/>
        <v>47654364</v>
      </c>
    </row>
    <row r="54" spans="1:11" s="96" customFormat="1" ht="28.2" x14ac:dyDescent="0.3">
      <c r="A54" s="148" t="s">
        <v>254</v>
      </c>
      <c r="B54" s="135" t="s">
        <v>255</v>
      </c>
      <c r="C54" s="150">
        <f>SUM(C55:C58)</f>
        <v>268683560</v>
      </c>
      <c r="D54" s="150">
        <f t="shared" ref="D54:K54" si="13">SUM(D55:D58)</f>
        <v>294887440</v>
      </c>
      <c r="E54" s="150">
        <f t="shared" si="13"/>
        <v>302846450</v>
      </c>
      <c r="F54" s="150">
        <f t="shared" si="13"/>
        <v>866417450</v>
      </c>
      <c r="G54" s="150">
        <f t="shared" si="13"/>
        <v>136930924</v>
      </c>
      <c r="H54" s="150">
        <f t="shared" si="13"/>
        <v>138559032</v>
      </c>
      <c r="I54" s="150">
        <f t="shared" si="13"/>
        <v>154856168</v>
      </c>
      <c r="J54" s="150">
        <f t="shared" si="13"/>
        <v>430346124</v>
      </c>
      <c r="K54" s="151">
        <f t="shared" si="13"/>
        <v>436071326</v>
      </c>
    </row>
    <row r="55" spans="1:11" ht="28.2" x14ac:dyDescent="0.3">
      <c r="A55" s="149">
        <v>1</v>
      </c>
      <c r="B55" s="136" t="s">
        <v>221</v>
      </c>
      <c r="C55" s="152">
        <v>122414760</v>
      </c>
      <c r="D55" s="152">
        <v>166598640</v>
      </c>
      <c r="E55" s="152">
        <v>163355000</v>
      </c>
      <c r="F55" s="152">
        <f t="shared" si="2"/>
        <v>452368400</v>
      </c>
      <c r="G55" s="152">
        <v>63322506</v>
      </c>
      <c r="H55" s="152">
        <v>83136450</v>
      </c>
      <c r="I55" s="152">
        <v>86902568</v>
      </c>
      <c r="J55" s="152">
        <f t="shared" si="3"/>
        <v>233361524</v>
      </c>
      <c r="K55" s="153">
        <f t="shared" si="4"/>
        <v>219006876</v>
      </c>
    </row>
    <row r="56" spans="1:11" x14ac:dyDescent="0.3">
      <c r="A56" s="149">
        <v>2</v>
      </c>
      <c r="B56" s="136" t="s">
        <v>223</v>
      </c>
      <c r="C56" s="152">
        <v>52228800</v>
      </c>
      <c r="D56" s="152">
        <v>52228800</v>
      </c>
      <c r="E56" s="152">
        <v>65707200</v>
      </c>
      <c r="F56" s="152">
        <f t="shared" si="2"/>
        <v>170164800</v>
      </c>
      <c r="G56" s="152">
        <v>26114400</v>
      </c>
      <c r="H56" s="152">
        <v>26114400</v>
      </c>
      <c r="I56" s="152">
        <v>32853600</v>
      </c>
      <c r="J56" s="152">
        <f t="shared" si="3"/>
        <v>85082400</v>
      </c>
      <c r="K56" s="153">
        <f t="shared" si="4"/>
        <v>85082400</v>
      </c>
    </row>
    <row r="57" spans="1:11" ht="28.2" x14ac:dyDescent="0.3">
      <c r="A57" s="149">
        <v>3</v>
      </c>
      <c r="B57" s="136" t="s">
        <v>249</v>
      </c>
      <c r="C57" s="152">
        <v>64800000</v>
      </c>
      <c r="D57" s="152">
        <v>36000000</v>
      </c>
      <c r="E57" s="152">
        <v>43200000</v>
      </c>
      <c r="F57" s="152">
        <f t="shared" si="2"/>
        <v>144000000</v>
      </c>
      <c r="G57" s="152">
        <v>32400000</v>
      </c>
      <c r="H57" s="152">
        <v>18000000</v>
      </c>
      <c r="I57" s="152">
        <v>21600000</v>
      </c>
      <c r="J57" s="152">
        <f t="shared" si="3"/>
        <v>72000000</v>
      </c>
      <c r="K57" s="153">
        <f t="shared" si="4"/>
        <v>72000000</v>
      </c>
    </row>
    <row r="58" spans="1:11" x14ac:dyDescent="0.3">
      <c r="A58" s="149">
        <v>4</v>
      </c>
      <c r="B58" s="136" t="s">
        <v>227</v>
      </c>
      <c r="C58" s="152">
        <v>29240000</v>
      </c>
      <c r="D58" s="152">
        <v>40060000</v>
      </c>
      <c r="E58" s="152">
        <v>30584250</v>
      </c>
      <c r="F58" s="152">
        <f t="shared" si="2"/>
        <v>99884250</v>
      </c>
      <c r="G58" s="152">
        <v>15094018</v>
      </c>
      <c r="H58" s="152">
        <v>11308182</v>
      </c>
      <c r="I58" s="152">
        <v>13500000</v>
      </c>
      <c r="J58" s="152">
        <f t="shared" si="3"/>
        <v>39902200</v>
      </c>
      <c r="K58" s="153">
        <f t="shared" si="4"/>
        <v>59982050</v>
      </c>
    </row>
    <row r="59" spans="1:11" s="96" customFormat="1" ht="28.2" x14ac:dyDescent="0.3">
      <c r="A59" s="148" t="s">
        <v>256</v>
      </c>
      <c r="B59" s="135" t="s">
        <v>257</v>
      </c>
      <c r="C59" s="150">
        <f>SUM(C60:C64)</f>
        <v>634602680</v>
      </c>
      <c r="D59" s="150">
        <f t="shared" ref="D59:K59" si="14">SUM(D60:D64)</f>
        <v>454406460</v>
      </c>
      <c r="E59" s="150">
        <f t="shared" si="14"/>
        <v>543084450</v>
      </c>
      <c r="F59" s="150">
        <f t="shared" si="14"/>
        <v>1632093590</v>
      </c>
      <c r="G59" s="150">
        <f t="shared" si="14"/>
        <v>316325607</v>
      </c>
      <c r="H59" s="150">
        <f t="shared" si="14"/>
        <v>248724758</v>
      </c>
      <c r="I59" s="150">
        <f t="shared" si="14"/>
        <v>256475665</v>
      </c>
      <c r="J59" s="150">
        <f t="shared" si="14"/>
        <v>821526030</v>
      </c>
      <c r="K59" s="151">
        <f t="shared" si="14"/>
        <v>810567560</v>
      </c>
    </row>
    <row r="60" spans="1:11" ht="28.2" x14ac:dyDescent="0.3">
      <c r="A60" s="149">
        <v>1</v>
      </c>
      <c r="B60" s="136" t="s">
        <v>221</v>
      </c>
      <c r="C60" s="152">
        <v>157205880</v>
      </c>
      <c r="D60" s="152">
        <v>141333660</v>
      </c>
      <c r="E60" s="152">
        <v>168360000</v>
      </c>
      <c r="F60" s="152">
        <f t="shared" si="2"/>
        <v>466899540</v>
      </c>
      <c r="G60" s="152">
        <v>78431652</v>
      </c>
      <c r="H60" s="152">
        <v>70532508</v>
      </c>
      <c r="I60" s="152">
        <v>77838065</v>
      </c>
      <c r="J60" s="152">
        <f t="shared" si="3"/>
        <v>226802225</v>
      </c>
      <c r="K60" s="153">
        <f t="shared" si="4"/>
        <v>240097315</v>
      </c>
    </row>
    <row r="61" spans="1:11" x14ac:dyDescent="0.3">
      <c r="A61" s="149">
        <v>2</v>
      </c>
      <c r="B61" s="136" t="s">
        <v>223</v>
      </c>
      <c r="C61" s="152">
        <v>52228800</v>
      </c>
      <c r="D61" s="152">
        <v>52228800</v>
      </c>
      <c r="E61" s="152">
        <v>65707200</v>
      </c>
      <c r="F61" s="152">
        <f t="shared" si="2"/>
        <v>170164800</v>
      </c>
      <c r="G61" s="152">
        <v>26114400</v>
      </c>
      <c r="H61" s="152">
        <v>26114400</v>
      </c>
      <c r="I61" s="152">
        <v>32853600</v>
      </c>
      <c r="J61" s="152">
        <f t="shared" si="3"/>
        <v>85082400</v>
      </c>
      <c r="K61" s="153">
        <f t="shared" si="4"/>
        <v>85082400</v>
      </c>
    </row>
    <row r="62" spans="1:11" x14ac:dyDescent="0.3">
      <c r="A62" s="149">
        <v>3</v>
      </c>
      <c r="B62" s="136" t="s">
        <v>237</v>
      </c>
      <c r="C62" s="152">
        <v>395928000</v>
      </c>
      <c r="D62" s="152">
        <v>219024000</v>
      </c>
      <c r="E62" s="152">
        <v>269568000</v>
      </c>
      <c r="F62" s="152">
        <f t="shared" si="2"/>
        <v>884520000</v>
      </c>
      <c r="G62" s="152">
        <v>200772000</v>
      </c>
      <c r="H62" s="152">
        <v>117000000</v>
      </c>
      <c r="I62" s="152">
        <v>134784000</v>
      </c>
      <c r="J62" s="152">
        <f t="shared" si="3"/>
        <v>452556000</v>
      </c>
      <c r="K62" s="153">
        <f t="shared" si="4"/>
        <v>431964000</v>
      </c>
    </row>
    <row r="63" spans="1:11" ht="28.2" x14ac:dyDescent="0.3">
      <c r="A63" s="149">
        <v>4</v>
      </c>
      <c r="B63" s="136" t="s">
        <v>258</v>
      </c>
      <c r="C63" s="152"/>
      <c r="D63" s="152">
        <v>8800000</v>
      </c>
      <c r="E63" s="152"/>
      <c r="F63" s="152">
        <f t="shared" si="2"/>
        <v>8800000</v>
      </c>
      <c r="G63" s="152"/>
      <c r="H63" s="152">
        <v>8800000</v>
      </c>
      <c r="I63" s="152"/>
      <c r="J63" s="152">
        <f t="shared" si="3"/>
        <v>8800000</v>
      </c>
      <c r="K63" s="153">
        <f t="shared" si="4"/>
        <v>0</v>
      </c>
    </row>
    <row r="64" spans="1:11" x14ac:dyDescent="0.3">
      <c r="A64" s="149">
        <v>5</v>
      </c>
      <c r="B64" s="136" t="s">
        <v>259</v>
      </c>
      <c r="C64" s="152">
        <v>29240000</v>
      </c>
      <c r="D64" s="152">
        <v>33020000</v>
      </c>
      <c r="E64" s="152">
        <v>39449250</v>
      </c>
      <c r="F64" s="152">
        <f t="shared" si="2"/>
        <v>101709250</v>
      </c>
      <c r="G64" s="152">
        <v>11007555</v>
      </c>
      <c r="H64" s="152">
        <v>26277850</v>
      </c>
      <c r="I64" s="152">
        <v>11000000</v>
      </c>
      <c r="J64" s="152">
        <f t="shared" si="3"/>
        <v>48285405</v>
      </c>
      <c r="K64" s="153">
        <f t="shared" si="4"/>
        <v>53423845</v>
      </c>
    </row>
    <row r="65" spans="1:11" s="96" customFormat="1" ht="42" x14ac:dyDescent="0.3">
      <c r="A65" s="148" t="s">
        <v>260</v>
      </c>
      <c r="B65" s="135" t="s">
        <v>261</v>
      </c>
      <c r="C65" s="150"/>
      <c r="D65" s="150">
        <v>58968000</v>
      </c>
      <c r="E65" s="150"/>
      <c r="F65" s="152">
        <f t="shared" si="2"/>
        <v>58968000</v>
      </c>
      <c r="G65" s="150"/>
      <c r="H65" s="150">
        <v>29484000</v>
      </c>
      <c r="I65" s="150"/>
      <c r="J65" s="152">
        <f t="shared" si="3"/>
        <v>29484000</v>
      </c>
      <c r="K65" s="153">
        <f t="shared" si="4"/>
        <v>29484000</v>
      </c>
    </row>
    <row r="66" spans="1:11" s="96" customFormat="1" ht="28.2" x14ac:dyDescent="0.3">
      <c r="A66" s="148" t="s">
        <v>25</v>
      </c>
      <c r="B66" s="135" t="s">
        <v>262</v>
      </c>
      <c r="C66" s="150">
        <f>SUM(C67:C69)</f>
        <v>141445700</v>
      </c>
      <c r="D66" s="150">
        <f t="shared" ref="D66:K66" si="15">SUM(D67:D69)</f>
        <v>126628900</v>
      </c>
      <c r="E66" s="150">
        <f t="shared" si="15"/>
        <v>110238048</v>
      </c>
      <c r="F66" s="150">
        <f t="shared" si="15"/>
        <v>378312648</v>
      </c>
      <c r="G66" s="150">
        <f t="shared" si="15"/>
        <v>16635000</v>
      </c>
      <c r="H66" s="150">
        <f t="shared" si="15"/>
        <v>22865000</v>
      </c>
      <c r="I66" s="150">
        <f t="shared" si="15"/>
        <v>42560000</v>
      </c>
      <c r="J66" s="150">
        <f t="shared" si="15"/>
        <v>82060000</v>
      </c>
      <c r="K66" s="151">
        <f t="shared" si="15"/>
        <v>296252648</v>
      </c>
    </row>
    <row r="67" spans="1:11" x14ac:dyDescent="0.3">
      <c r="A67" s="149" t="s">
        <v>263</v>
      </c>
      <c r="B67" s="136" t="s">
        <v>264</v>
      </c>
      <c r="C67" s="152">
        <v>91000000</v>
      </c>
      <c r="D67" s="152">
        <v>54000000</v>
      </c>
      <c r="E67" s="152"/>
      <c r="F67" s="152">
        <f t="shared" si="2"/>
        <v>145000000</v>
      </c>
      <c r="G67" s="152">
        <v>0</v>
      </c>
      <c r="H67" s="152"/>
      <c r="I67" s="152"/>
      <c r="J67" s="152">
        <f t="shared" si="3"/>
        <v>0</v>
      </c>
      <c r="K67" s="153">
        <f t="shared" si="4"/>
        <v>145000000</v>
      </c>
    </row>
    <row r="68" spans="1:11" x14ac:dyDescent="0.3">
      <c r="A68" s="149" t="s">
        <v>265</v>
      </c>
      <c r="B68" s="136" t="s">
        <v>266</v>
      </c>
      <c r="C68" s="152">
        <v>25000000</v>
      </c>
      <c r="D68" s="152">
        <v>25000000</v>
      </c>
      <c r="E68" s="152"/>
      <c r="F68" s="152">
        <f t="shared" si="2"/>
        <v>50000000</v>
      </c>
      <c r="G68" s="152">
        <v>4915000</v>
      </c>
      <c r="H68" s="152"/>
      <c r="I68" s="152"/>
      <c r="J68" s="152">
        <f t="shared" si="3"/>
        <v>4915000</v>
      </c>
      <c r="K68" s="153">
        <f t="shared" si="4"/>
        <v>45085000</v>
      </c>
    </row>
    <row r="69" spans="1:11" x14ac:dyDescent="0.3">
      <c r="A69" s="149" t="s">
        <v>267</v>
      </c>
      <c r="B69" s="136" t="s">
        <v>268</v>
      </c>
      <c r="C69" s="152">
        <v>25445700</v>
      </c>
      <c r="D69" s="152">
        <v>47628900</v>
      </c>
      <c r="E69" s="152">
        <v>110238048</v>
      </c>
      <c r="F69" s="152">
        <f t="shared" si="2"/>
        <v>183312648</v>
      </c>
      <c r="G69" s="152">
        <v>11720000</v>
      </c>
      <c r="H69" s="152">
        <v>22865000</v>
      </c>
      <c r="I69" s="152">
        <v>42560000</v>
      </c>
      <c r="J69" s="152">
        <f t="shared" si="3"/>
        <v>77145000</v>
      </c>
      <c r="K69" s="153">
        <f t="shared" si="4"/>
        <v>106167648</v>
      </c>
    </row>
    <row r="70" spans="1:11" s="96" customFormat="1" ht="42" x14ac:dyDescent="0.3">
      <c r="A70" s="148" t="s">
        <v>29</v>
      </c>
      <c r="B70" s="135" t="s">
        <v>269</v>
      </c>
      <c r="C70" s="150">
        <v>35349300</v>
      </c>
      <c r="D70" s="150">
        <v>26565300</v>
      </c>
      <c r="E70" s="150">
        <v>24665089</v>
      </c>
      <c r="F70" s="152">
        <f t="shared" si="2"/>
        <v>86579689</v>
      </c>
      <c r="G70" s="150">
        <v>17890000</v>
      </c>
      <c r="H70" s="150">
        <v>2400000</v>
      </c>
      <c r="I70" s="150">
        <v>0</v>
      </c>
      <c r="J70" s="152">
        <f t="shared" si="3"/>
        <v>20290000</v>
      </c>
      <c r="K70" s="153">
        <f t="shared" si="4"/>
        <v>66289689</v>
      </c>
    </row>
    <row r="71" spans="1:11" s="96" customFormat="1" ht="28.2" x14ac:dyDescent="0.3">
      <c r="A71" s="148" t="s">
        <v>30</v>
      </c>
      <c r="B71" s="135" t="s">
        <v>270</v>
      </c>
      <c r="C71" s="150">
        <f>SUM(C72:C73)</f>
        <v>59941000</v>
      </c>
      <c r="D71" s="150">
        <f t="shared" ref="D71:K71" si="16">SUM(D72:D73)</f>
        <v>41524300</v>
      </c>
      <c r="E71" s="150">
        <f t="shared" si="16"/>
        <v>39271227</v>
      </c>
      <c r="F71" s="150">
        <f t="shared" si="16"/>
        <v>140736527</v>
      </c>
      <c r="G71" s="150">
        <f t="shared" si="16"/>
        <v>40990000</v>
      </c>
      <c r="H71" s="150">
        <f t="shared" si="16"/>
        <v>12040000</v>
      </c>
      <c r="I71" s="150">
        <f t="shared" si="16"/>
        <v>29210000</v>
      </c>
      <c r="J71" s="150">
        <f t="shared" si="16"/>
        <v>82240000</v>
      </c>
      <c r="K71" s="151">
        <f t="shared" si="16"/>
        <v>58496527</v>
      </c>
    </row>
    <row r="72" spans="1:11" ht="28.2" x14ac:dyDescent="0.3">
      <c r="A72" s="149" t="s">
        <v>271</v>
      </c>
      <c r="B72" s="136" t="s">
        <v>272</v>
      </c>
      <c r="C72" s="152">
        <v>49941000</v>
      </c>
      <c r="D72" s="152">
        <v>31524300</v>
      </c>
      <c r="E72" s="152">
        <v>29271227</v>
      </c>
      <c r="F72" s="152">
        <f t="shared" si="2"/>
        <v>110736527</v>
      </c>
      <c r="G72" s="152">
        <v>30990000</v>
      </c>
      <c r="H72" s="152">
        <v>12040000</v>
      </c>
      <c r="I72" s="152">
        <v>29210000</v>
      </c>
      <c r="J72" s="152">
        <f t="shared" si="3"/>
        <v>72240000</v>
      </c>
      <c r="K72" s="153">
        <f t="shared" si="4"/>
        <v>38496527</v>
      </c>
    </row>
    <row r="73" spans="1:11" ht="28.2" x14ac:dyDescent="0.3">
      <c r="A73" s="149" t="s">
        <v>273</v>
      </c>
      <c r="B73" s="136" t="s">
        <v>274</v>
      </c>
      <c r="C73" s="152">
        <v>10000000</v>
      </c>
      <c r="D73" s="152">
        <v>10000000</v>
      </c>
      <c r="E73" s="152">
        <v>10000000</v>
      </c>
      <c r="F73" s="152">
        <f t="shared" si="2"/>
        <v>30000000</v>
      </c>
      <c r="G73" s="152">
        <v>10000000</v>
      </c>
      <c r="H73" s="152">
        <v>0</v>
      </c>
      <c r="I73" s="152"/>
      <c r="J73" s="152">
        <f t="shared" si="3"/>
        <v>10000000</v>
      </c>
      <c r="K73" s="153">
        <f t="shared" si="4"/>
        <v>20000000</v>
      </c>
    </row>
    <row r="74" spans="1:11" s="96" customFormat="1" ht="28.2" x14ac:dyDescent="0.3">
      <c r="A74" s="148" t="s">
        <v>31</v>
      </c>
      <c r="B74" s="135" t="s">
        <v>275</v>
      </c>
      <c r="C74" s="150">
        <f>SUM(C75:C78)</f>
        <v>212222500</v>
      </c>
      <c r="D74" s="150">
        <f t="shared" ref="D74:K74" si="17">SUM(D75:D78)</f>
        <v>77665100</v>
      </c>
      <c r="E74" s="150">
        <f t="shared" si="17"/>
        <v>95707563</v>
      </c>
      <c r="F74" s="150">
        <f t="shared" si="17"/>
        <v>385595163</v>
      </c>
      <c r="G74" s="150">
        <f t="shared" si="17"/>
        <v>127910000</v>
      </c>
      <c r="H74" s="150">
        <f t="shared" si="17"/>
        <v>47495000</v>
      </c>
      <c r="I74" s="150">
        <f t="shared" si="17"/>
        <v>88507563</v>
      </c>
      <c r="J74" s="150">
        <f t="shared" si="17"/>
        <v>263912563</v>
      </c>
      <c r="K74" s="151">
        <f t="shared" si="17"/>
        <v>121682600</v>
      </c>
    </row>
    <row r="75" spans="1:11" x14ac:dyDescent="0.3">
      <c r="A75" s="149" t="s">
        <v>276</v>
      </c>
      <c r="B75" s="136" t="s">
        <v>277</v>
      </c>
      <c r="C75" s="152">
        <v>12712500</v>
      </c>
      <c r="D75" s="152">
        <v>24155100</v>
      </c>
      <c r="E75" s="152">
        <v>20157563</v>
      </c>
      <c r="F75" s="152">
        <f t="shared" si="2"/>
        <v>57025163</v>
      </c>
      <c r="G75" s="152">
        <v>4200000</v>
      </c>
      <c r="H75" s="152">
        <v>2495000</v>
      </c>
      <c r="I75" s="152">
        <v>20157563</v>
      </c>
      <c r="J75" s="152">
        <f t="shared" si="3"/>
        <v>26852563</v>
      </c>
      <c r="K75" s="153">
        <f t="shared" si="4"/>
        <v>30172600</v>
      </c>
    </row>
    <row r="76" spans="1:11" ht="28.2" x14ac:dyDescent="0.3">
      <c r="A76" s="149" t="s">
        <v>278</v>
      </c>
      <c r="B76" s="136" t="s">
        <v>279</v>
      </c>
      <c r="C76" s="152">
        <v>10800000</v>
      </c>
      <c r="D76" s="152">
        <v>6000000</v>
      </c>
      <c r="E76" s="152">
        <v>7200000</v>
      </c>
      <c r="F76" s="152">
        <f t="shared" si="2"/>
        <v>24000000</v>
      </c>
      <c r="G76" s="152"/>
      <c r="H76" s="152">
        <v>0</v>
      </c>
      <c r="I76" s="152"/>
      <c r="J76" s="152">
        <f t="shared" si="3"/>
        <v>0</v>
      </c>
      <c r="K76" s="153">
        <f t="shared" si="4"/>
        <v>24000000</v>
      </c>
    </row>
    <row r="77" spans="1:11" ht="28.2" x14ac:dyDescent="0.3">
      <c r="A77" s="149" t="s">
        <v>280</v>
      </c>
      <c r="B77" s="136" t="s">
        <v>281</v>
      </c>
      <c r="C77" s="152">
        <v>110710000</v>
      </c>
      <c r="D77" s="152">
        <v>47510000</v>
      </c>
      <c r="E77" s="152">
        <v>68350000</v>
      </c>
      <c r="F77" s="152">
        <f t="shared" ref="F77:F78" si="18">SUM(C77:E77)</f>
        <v>226570000</v>
      </c>
      <c r="G77" s="155">
        <v>110710000</v>
      </c>
      <c r="H77" s="152">
        <v>45000000</v>
      </c>
      <c r="I77" s="152">
        <v>68350000</v>
      </c>
      <c r="J77" s="152">
        <f t="shared" ref="J77:J78" si="19">SUM(G77:I77)</f>
        <v>224060000</v>
      </c>
      <c r="K77" s="153">
        <f t="shared" si="4"/>
        <v>2510000</v>
      </c>
    </row>
    <row r="78" spans="1:11" ht="69.599999999999994" x14ac:dyDescent="0.3">
      <c r="A78" s="149" t="s">
        <v>282</v>
      </c>
      <c r="B78" s="136" t="s">
        <v>74</v>
      </c>
      <c r="C78" s="155">
        <v>78000000</v>
      </c>
      <c r="D78" s="152"/>
      <c r="E78" s="152"/>
      <c r="F78" s="152">
        <f t="shared" si="18"/>
        <v>78000000</v>
      </c>
      <c r="G78" s="155">
        <v>13000000</v>
      </c>
      <c r="H78" s="152"/>
      <c r="I78" s="152"/>
      <c r="J78" s="152">
        <f t="shared" si="19"/>
        <v>13000000</v>
      </c>
      <c r="K78" s="153">
        <f t="shared" si="4"/>
        <v>65000000</v>
      </c>
    </row>
    <row r="79" spans="1:11" s="96" customFormat="1" x14ac:dyDescent="0.3">
      <c r="A79" s="148" t="s">
        <v>33</v>
      </c>
      <c r="B79" s="135" t="s">
        <v>283</v>
      </c>
      <c r="C79" s="150">
        <f t="shared" ref="C79:K79" si="20">C80+C95+C96+C97+C98+C99+C100+C101</f>
        <v>2089494300</v>
      </c>
      <c r="D79" s="150">
        <f t="shared" si="20"/>
        <v>527215600</v>
      </c>
      <c r="E79" s="150">
        <f t="shared" si="20"/>
        <v>519921521</v>
      </c>
      <c r="F79" s="150">
        <f t="shared" si="20"/>
        <v>3136631421</v>
      </c>
      <c r="G79" s="150">
        <f t="shared" si="20"/>
        <v>1871373000</v>
      </c>
      <c r="H79" s="150">
        <f t="shared" si="20"/>
        <v>399244000</v>
      </c>
      <c r="I79" s="150">
        <f t="shared" si="20"/>
        <v>346330550</v>
      </c>
      <c r="J79" s="150">
        <f t="shared" si="20"/>
        <v>2616947550</v>
      </c>
      <c r="K79" s="150">
        <f t="shared" si="20"/>
        <v>519683871</v>
      </c>
    </row>
    <row r="80" spans="1:11" x14ac:dyDescent="0.3">
      <c r="A80" s="149" t="s">
        <v>284</v>
      </c>
      <c r="B80" s="136" t="s">
        <v>285</v>
      </c>
      <c r="C80" s="152">
        <f>C81+C85+C90</f>
        <v>335940300</v>
      </c>
      <c r="D80" s="152">
        <f t="shared" ref="D80:K80" si="21">D81+D85+D90</f>
        <v>360255600</v>
      </c>
      <c r="E80" s="152">
        <f t="shared" si="21"/>
        <v>334491521</v>
      </c>
      <c r="F80" s="152">
        <f t="shared" si="21"/>
        <v>1030687421</v>
      </c>
      <c r="G80" s="152">
        <f t="shared" si="21"/>
        <v>205873000</v>
      </c>
      <c r="H80" s="152">
        <f t="shared" si="21"/>
        <v>353244000</v>
      </c>
      <c r="I80" s="152">
        <f t="shared" si="21"/>
        <v>241330550</v>
      </c>
      <c r="J80" s="152">
        <f t="shared" si="21"/>
        <v>800447550</v>
      </c>
      <c r="K80" s="153">
        <f t="shared" si="21"/>
        <v>230239871</v>
      </c>
    </row>
    <row r="81" spans="1:11" x14ac:dyDescent="0.3">
      <c r="A81" s="149">
        <v>1</v>
      </c>
      <c r="B81" s="136" t="s">
        <v>75</v>
      </c>
      <c r="C81" s="152">
        <f>SUM(C82:C84)</f>
        <v>0</v>
      </c>
      <c r="D81" s="152">
        <f t="shared" ref="D81:K81" si="22">SUM(D82:D84)</f>
        <v>360255600</v>
      </c>
      <c r="E81" s="152">
        <f t="shared" si="22"/>
        <v>0</v>
      </c>
      <c r="F81" s="152">
        <f t="shared" si="22"/>
        <v>360255600</v>
      </c>
      <c r="G81" s="152">
        <f t="shared" si="22"/>
        <v>0</v>
      </c>
      <c r="H81" s="152">
        <f t="shared" si="22"/>
        <v>353244000</v>
      </c>
      <c r="I81" s="152">
        <f t="shared" si="22"/>
        <v>0</v>
      </c>
      <c r="J81" s="152">
        <f t="shared" si="22"/>
        <v>353244000</v>
      </c>
      <c r="K81" s="153">
        <f t="shared" si="22"/>
        <v>7011600</v>
      </c>
    </row>
    <row r="82" spans="1:11" ht="97.2" x14ac:dyDescent="0.3">
      <c r="A82" s="149"/>
      <c r="B82" s="136" t="s">
        <v>286</v>
      </c>
      <c r="C82" s="152"/>
      <c r="D82" s="152">
        <v>100000000</v>
      </c>
      <c r="E82" s="152"/>
      <c r="F82" s="152">
        <f t="shared" ref="F82:F106" si="23">SUM(C82:E82)</f>
        <v>100000000</v>
      </c>
      <c r="G82" s="152"/>
      <c r="H82" s="152">
        <v>97485500</v>
      </c>
      <c r="I82" s="152"/>
      <c r="J82" s="152">
        <f t="shared" ref="J82:J106" si="24">SUM(G82:I82)</f>
        <v>97485500</v>
      </c>
      <c r="K82" s="153">
        <f t="shared" ref="K82:K106" si="25">F82-J82</f>
        <v>2514500</v>
      </c>
    </row>
    <row r="83" spans="1:11" ht="97.2" x14ac:dyDescent="0.3">
      <c r="A83" s="149"/>
      <c r="B83" s="136" t="s">
        <v>287</v>
      </c>
      <c r="C83" s="152"/>
      <c r="D83" s="152">
        <v>100000000</v>
      </c>
      <c r="E83" s="152"/>
      <c r="F83" s="152">
        <f t="shared" si="23"/>
        <v>100000000</v>
      </c>
      <c r="G83" s="152"/>
      <c r="H83" s="152">
        <v>95503500</v>
      </c>
      <c r="I83" s="152"/>
      <c r="J83" s="152">
        <f t="shared" si="24"/>
        <v>95503500</v>
      </c>
      <c r="K83" s="153">
        <f t="shared" si="25"/>
        <v>4496500</v>
      </c>
    </row>
    <row r="84" spans="1:11" ht="55.8" x14ac:dyDescent="0.3">
      <c r="A84" s="149"/>
      <c r="B84" s="136" t="s">
        <v>288</v>
      </c>
      <c r="C84" s="152"/>
      <c r="D84" s="152">
        <v>160255600</v>
      </c>
      <c r="E84" s="152"/>
      <c r="F84" s="152">
        <f t="shared" si="23"/>
        <v>160255600</v>
      </c>
      <c r="G84" s="152"/>
      <c r="H84" s="152">
        <v>160255000</v>
      </c>
      <c r="I84" s="152"/>
      <c r="J84" s="152">
        <f t="shared" si="24"/>
        <v>160255000</v>
      </c>
      <c r="K84" s="153">
        <f t="shared" si="25"/>
        <v>600</v>
      </c>
    </row>
    <row r="85" spans="1:11" x14ac:dyDescent="0.3">
      <c r="A85" s="149">
        <v>2</v>
      </c>
      <c r="B85" s="136" t="s">
        <v>76</v>
      </c>
      <c r="C85" s="152">
        <f>SUM(C86:C89)</f>
        <v>0</v>
      </c>
      <c r="D85" s="152">
        <f t="shared" ref="D85:K85" si="26">SUM(D86:D89)</f>
        <v>0</v>
      </c>
      <c r="E85" s="152">
        <f t="shared" si="26"/>
        <v>334491521</v>
      </c>
      <c r="F85" s="152">
        <f t="shared" si="26"/>
        <v>334491521</v>
      </c>
      <c r="G85" s="152">
        <f t="shared" si="26"/>
        <v>0</v>
      </c>
      <c r="H85" s="152">
        <f t="shared" si="26"/>
        <v>0</v>
      </c>
      <c r="I85" s="152">
        <f t="shared" si="26"/>
        <v>241330550</v>
      </c>
      <c r="J85" s="152">
        <f t="shared" si="26"/>
        <v>241330550</v>
      </c>
      <c r="K85" s="153">
        <f t="shared" si="26"/>
        <v>93160971</v>
      </c>
    </row>
    <row r="86" spans="1:11" ht="42" x14ac:dyDescent="0.3">
      <c r="A86" s="149"/>
      <c r="B86" s="136" t="s">
        <v>289</v>
      </c>
      <c r="C86" s="152"/>
      <c r="D86" s="152"/>
      <c r="E86" s="155">
        <v>93150000</v>
      </c>
      <c r="F86" s="152">
        <f t="shared" si="23"/>
        <v>93150000</v>
      </c>
      <c r="G86" s="152"/>
      <c r="H86" s="152"/>
      <c r="I86" s="152"/>
      <c r="J86" s="152">
        <f t="shared" si="24"/>
        <v>0</v>
      </c>
      <c r="K86" s="153">
        <f t="shared" si="25"/>
        <v>93150000</v>
      </c>
    </row>
    <row r="87" spans="1:11" ht="28.2" x14ac:dyDescent="0.3">
      <c r="A87" s="149"/>
      <c r="B87" s="136" t="s">
        <v>290</v>
      </c>
      <c r="C87" s="152"/>
      <c r="D87" s="152"/>
      <c r="E87" s="155">
        <v>162980000</v>
      </c>
      <c r="F87" s="152">
        <f t="shared" si="23"/>
        <v>162980000</v>
      </c>
      <c r="G87" s="152"/>
      <c r="H87" s="152"/>
      <c r="I87" s="152">
        <v>162980000</v>
      </c>
      <c r="J87" s="152">
        <f t="shared" si="24"/>
        <v>162980000</v>
      </c>
      <c r="K87" s="153">
        <f t="shared" si="25"/>
        <v>0</v>
      </c>
    </row>
    <row r="88" spans="1:11" ht="28.2" x14ac:dyDescent="0.3">
      <c r="A88" s="149"/>
      <c r="B88" s="136" t="s">
        <v>291</v>
      </c>
      <c r="C88" s="152"/>
      <c r="D88" s="152"/>
      <c r="E88" s="155">
        <v>25000000</v>
      </c>
      <c r="F88" s="152">
        <f t="shared" si="23"/>
        <v>25000000</v>
      </c>
      <c r="G88" s="152"/>
      <c r="H88" s="152"/>
      <c r="I88" s="152">
        <v>25000000</v>
      </c>
      <c r="J88" s="152">
        <f t="shared" si="24"/>
        <v>25000000</v>
      </c>
      <c r="K88" s="153">
        <f t="shared" si="25"/>
        <v>0</v>
      </c>
    </row>
    <row r="89" spans="1:11" ht="42" x14ac:dyDescent="0.3">
      <c r="A89" s="149"/>
      <c r="B89" s="136" t="s">
        <v>292</v>
      </c>
      <c r="C89" s="152"/>
      <c r="D89" s="152"/>
      <c r="E89" s="155">
        <v>53361521</v>
      </c>
      <c r="F89" s="152">
        <f t="shared" si="23"/>
        <v>53361521</v>
      </c>
      <c r="G89" s="152"/>
      <c r="H89" s="152"/>
      <c r="I89" s="152">
        <v>53350550</v>
      </c>
      <c r="J89" s="152">
        <f t="shared" si="24"/>
        <v>53350550</v>
      </c>
      <c r="K89" s="153">
        <f t="shared" si="25"/>
        <v>10971</v>
      </c>
    </row>
    <row r="90" spans="1:11" x14ac:dyDescent="0.3">
      <c r="A90" s="149">
        <v>3</v>
      </c>
      <c r="B90" s="136" t="s">
        <v>293</v>
      </c>
      <c r="C90" s="152">
        <f>SUM(C91:C94)</f>
        <v>335940300</v>
      </c>
      <c r="D90" s="152">
        <f t="shared" ref="D90:K90" si="27">SUM(D91:D94)</f>
        <v>0</v>
      </c>
      <c r="E90" s="152">
        <f t="shared" si="27"/>
        <v>0</v>
      </c>
      <c r="F90" s="152">
        <f t="shared" si="27"/>
        <v>335940300</v>
      </c>
      <c r="G90" s="152">
        <f t="shared" si="27"/>
        <v>205873000</v>
      </c>
      <c r="H90" s="152">
        <f t="shared" si="27"/>
        <v>0</v>
      </c>
      <c r="I90" s="152">
        <f t="shared" si="27"/>
        <v>0</v>
      </c>
      <c r="J90" s="152">
        <f t="shared" si="27"/>
        <v>205873000</v>
      </c>
      <c r="K90" s="153">
        <f t="shared" si="27"/>
        <v>130067300</v>
      </c>
    </row>
    <row r="91" spans="1:11" ht="42" x14ac:dyDescent="0.3">
      <c r="A91" s="149"/>
      <c r="B91" s="136" t="s">
        <v>294</v>
      </c>
      <c r="C91" s="155">
        <v>95000000</v>
      </c>
      <c r="D91" s="152"/>
      <c r="E91" s="152"/>
      <c r="F91" s="152">
        <f t="shared" si="23"/>
        <v>95000000</v>
      </c>
      <c r="G91" s="152">
        <v>94933000</v>
      </c>
      <c r="H91" s="152"/>
      <c r="I91" s="152"/>
      <c r="J91" s="152">
        <f t="shared" si="24"/>
        <v>94933000</v>
      </c>
      <c r="K91" s="153">
        <f t="shared" si="25"/>
        <v>67000</v>
      </c>
    </row>
    <row r="92" spans="1:11" ht="42" x14ac:dyDescent="0.3">
      <c r="A92" s="149"/>
      <c r="B92" s="136" t="s">
        <v>295</v>
      </c>
      <c r="C92" s="155">
        <v>21000000</v>
      </c>
      <c r="D92" s="152"/>
      <c r="E92" s="152"/>
      <c r="F92" s="152">
        <f t="shared" si="23"/>
        <v>21000000</v>
      </c>
      <c r="G92" s="152">
        <v>21000000</v>
      </c>
      <c r="H92" s="152"/>
      <c r="I92" s="152"/>
      <c r="J92" s="152">
        <f t="shared" si="24"/>
        <v>21000000</v>
      </c>
      <c r="K92" s="153">
        <f t="shared" si="25"/>
        <v>0</v>
      </c>
    </row>
    <row r="93" spans="1:11" ht="55.8" x14ac:dyDescent="0.3">
      <c r="A93" s="149"/>
      <c r="B93" s="136" t="s">
        <v>296</v>
      </c>
      <c r="C93" s="155">
        <v>89940300</v>
      </c>
      <c r="D93" s="152"/>
      <c r="E93" s="152"/>
      <c r="F93" s="152">
        <f t="shared" si="23"/>
        <v>89940300</v>
      </c>
      <c r="G93" s="152">
        <v>89940000</v>
      </c>
      <c r="H93" s="152"/>
      <c r="I93" s="152"/>
      <c r="J93" s="152">
        <f t="shared" si="24"/>
        <v>89940000</v>
      </c>
      <c r="K93" s="153">
        <f t="shared" si="25"/>
        <v>300</v>
      </c>
    </row>
    <row r="94" spans="1:11" ht="55.8" x14ac:dyDescent="0.3">
      <c r="A94" s="149"/>
      <c r="B94" s="136" t="s">
        <v>297</v>
      </c>
      <c r="C94" s="155">
        <v>130000000</v>
      </c>
      <c r="D94" s="152"/>
      <c r="E94" s="152"/>
      <c r="F94" s="152">
        <f t="shared" si="23"/>
        <v>130000000</v>
      </c>
      <c r="G94" s="152">
        <v>0</v>
      </c>
      <c r="H94" s="152"/>
      <c r="I94" s="152"/>
      <c r="J94" s="152">
        <f t="shared" si="24"/>
        <v>0</v>
      </c>
      <c r="K94" s="153">
        <f t="shared" si="25"/>
        <v>130000000</v>
      </c>
    </row>
    <row r="95" spans="1:11" ht="55.8" x14ac:dyDescent="0.3">
      <c r="A95" s="149" t="s">
        <v>298</v>
      </c>
      <c r="B95" s="136" t="s">
        <v>299</v>
      </c>
      <c r="C95" s="152">
        <v>12554000</v>
      </c>
      <c r="D95" s="152">
        <v>12000000</v>
      </c>
      <c r="E95" s="152">
        <v>12000000</v>
      </c>
      <c r="F95" s="152">
        <f t="shared" si="23"/>
        <v>36554000</v>
      </c>
      <c r="G95" s="152">
        <v>6000000</v>
      </c>
      <c r="H95" s="152">
        <v>6000000</v>
      </c>
      <c r="I95" s="152">
        <v>5000000</v>
      </c>
      <c r="J95" s="152">
        <f t="shared" si="24"/>
        <v>17000000</v>
      </c>
      <c r="K95" s="153">
        <f t="shared" si="25"/>
        <v>19554000</v>
      </c>
    </row>
    <row r="96" spans="1:11" ht="42" x14ac:dyDescent="0.3">
      <c r="A96" s="149" t="s">
        <v>300</v>
      </c>
      <c r="B96" s="136" t="s">
        <v>295</v>
      </c>
      <c r="C96" s="152">
        <v>21000000</v>
      </c>
      <c r="D96" s="152">
        <v>40000000</v>
      </c>
      <c r="E96" s="152">
        <v>100000000</v>
      </c>
      <c r="F96" s="152">
        <f t="shared" si="23"/>
        <v>161000000</v>
      </c>
      <c r="G96" s="152">
        <v>21000000</v>
      </c>
      <c r="H96" s="152">
        <v>40000000</v>
      </c>
      <c r="I96" s="152">
        <v>100000000</v>
      </c>
      <c r="J96" s="152">
        <f t="shared" si="24"/>
        <v>161000000</v>
      </c>
      <c r="K96" s="153">
        <f t="shared" si="25"/>
        <v>0</v>
      </c>
    </row>
    <row r="97" spans="1:13" ht="55.8" x14ac:dyDescent="0.3">
      <c r="A97" s="149" t="s">
        <v>301</v>
      </c>
      <c r="B97" s="136" t="s">
        <v>302</v>
      </c>
      <c r="C97" s="152"/>
      <c r="D97" s="152">
        <v>114960000</v>
      </c>
      <c r="E97" s="152">
        <v>73430000</v>
      </c>
      <c r="F97" s="152">
        <f t="shared" si="23"/>
        <v>188390000</v>
      </c>
      <c r="G97" s="152"/>
      <c r="H97" s="152">
        <v>0</v>
      </c>
      <c r="I97" s="152">
        <v>0</v>
      </c>
      <c r="J97" s="152">
        <f t="shared" si="24"/>
        <v>0</v>
      </c>
      <c r="K97" s="153">
        <f t="shared" si="25"/>
        <v>188390000</v>
      </c>
    </row>
    <row r="98" spans="1:13" ht="47.25" customHeight="1" x14ac:dyDescent="0.3">
      <c r="A98" s="149" t="s">
        <v>303</v>
      </c>
      <c r="B98" s="135" t="s">
        <v>304</v>
      </c>
      <c r="C98" s="156">
        <v>90000000</v>
      </c>
      <c r="D98" s="152"/>
      <c r="E98" s="152"/>
      <c r="F98" s="152">
        <f t="shared" si="23"/>
        <v>90000000</v>
      </c>
      <c r="G98" s="156">
        <f>2000000+26700000</f>
        <v>28700000</v>
      </c>
      <c r="H98" s="152"/>
      <c r="I98" s="152"/>
      <c r="J98" s="152">
        <f t="shared" si="24"/>
        <v>28700000</v>
      </c>
      <c r="K98" s="153">
        <f t="shared" si="25"/>
        <v>61300000</v>
      </c>
    </row>
    <row r="99" spans="1:13" ht="49.5" customHeight="1" x14ac:dyDescent="0.3">
      <c r="A99" s="149" t="s">
        <v>305</v>
      </c>
      <c r="B99" s="135" t="s">
        <v>304</v>
      </c>
      <c r="C99" s="156">
        <v>10000000</v>
      </c>
      <c r="D99" s="152"/>
      <c r="E99" s="152"/>
      <c r="F99" s="152">
        <f t="shared" si="23"/>
        <v>10000000</v>
      </c>
      <c r="G99" s="156">
        <v>4000000</v>
      </c>
      <c r="H99" s="152"/>
      <c r="I99" s="152"/>
      <c r="J99" s="152">
        <f t="shared" si="24"/>
        <v>4000000</v>
      </c>
      <c r="K99" s="153">
        <f t="shared" si="25"/>
        <v>6000000</v>
      </c>
    </row>
    <row r="100" spans="1:13" ht="42" x14ac:dyDescent="0.3">
      <c r="A100" s="149" t="s">
        <v>306</v>
      </c>
      <c r="B100" s="136" t="s">
        <v>307</v>
      </c>
      <c r="C100" s="155">
        <v>810000000</v>
      </c>
      <c r="D100" s="152"/>
      <c r="E100" s="152"/>
      <c r="F100" s="152">
        <f t="shared" si="23"/>
        <v>810000000</v>
      </c>
      <c r="G100" s="155">
        <f>705721000+4320000+19760000+50311000+22604000</f>
        <v>802716000</v>
      </c>
      <c r="H100" s="152"/>
      <c r="I100" s="152"/>
      <c r="J100" s="152">
        <f t="shared" si="24"/>
        <v>802716000</v>
      </c>
      <c r="K100" s="153">
        <f t="shared" si="25"/>
        <v>7284000</v>
      </c>
    </row>
    <row r="101" spans="1:13" ht="69.599999999999994" x14ac:dyDescent="0.3">
      <c r="A101" s="149" t="s">
        <v>308</v>
      </c>
      <c r="B101" s="136" t="s">
        <v>309</v>
      </c>
      <c r="C101" s="155">
        <v>810000000</v>
      </c>
      <c r="D101" s="152"/>
      <c r="E101" s="152"/>
      <c r="F101" s="152">
        <f t="shared" si="23"/>
        <v>810000000</v>
      </c>
      <c r="G101" s="155">
        <f>714523000+4320000+22886000+20006000+41349000</f>
        <v>803084000</v>
      </c>
      <c r="H101" s="152"/>
      <c r="I101" s="152"/>
      <c r="J101" s="152">
        <f t="shared" si="24"/>
        <v>803084000</v>
      </c>
      <c r="K101" s="153">
        <f t="shared" si="25"/>
        <v>6916000</v>
      </c>
    </row>
    <row r="102" spans="1:13" s="96" customFormat="1" ht="28.2" x14ac:dyDescent="0.3">
      <c r="A102" s="148" t="s">
        <v>40</v>
      </c>
      <c r="B102" s="135" t="s">
        <v>310</v>
      </c>
      <c r="C102" s="150">
        <v>81720900</v>
      </c>
      <c r="D102" s="150">
        <v>32752800</v>
      </c>
      <c r="E102" s="150">
        <v>30410496</v>
      </c>
      <c r="F102" s="152">
        <f t="shared" si="23"/>
        <v>144884196</v>
      </c>
      <c r="G102" s="150">
        <v>48238000</v>
      </c>
      <c r="H102" s="150">
        <v>798000</v>
      </c>
      <c r="I102" s="150">
        <v>26790000</v>
      </c>
      <c r="J102" s="152">
        <f t="shared" si="24"/>
        <v>75826000</v>
      </c>
      <c r="K102" s="153">
        <f t="shared" si="25"/>
        <v>69058196</v>
      </c>
    </row>
    <row r="103" spans="1:13" s="96" customFormat="1" ht="28.2" x14ac:dyDescent="0.3">
      <c r="A103" s="148" t="s">
        <v>77</v>
      </c>
      <c r="B103" s="135" t="s">
        <v>311</v>
      </c>
      <c r="C103" s="150">
        <v>48038000</v>
      </c>
      <c r="D103" s="150">
        <v>40371000</v>
      </c>
      <c r="E103" s="150">
        <v>41147000</v>
      </c>
      <c r="F103" s="152">
        <f t="shared" si="23"/>
        <v>129556000</v>
      </c>
      <c r="G103" s="150"/>
      <c r="H103" s="150">
        <v>13063604</v>
      </c>
      <c r="I103" s="150">
        <v>41147000</v>
      </c>
      <c r="J103" s="152">
        <f t="shared" si="24"/>
        <v>54210604</v>
      </c>
      <c r="K103" s="153">
        <f t="shared" si="25"/>
        <v>75345396</v>
      </c>
    </row>
    <row r="104" spans="1:13" s="96" customFormat="1" ht="18" customHeight="1" x14ac:dyDescent="0.3">
      <c r="A104" s="148" t="s">
        <v>78</v>
      </c>
      <c r="B104" s="135" t="s">
        <v>79</v>
      </c>
      <c r="C104" s="150">
        <v>193112000</v>
      </c>
      <c r="D104" s="150">
        <v>162290000</v>
      </c>
      <c r="E104" s="150">
        <v>165411000</v>
      </c>
      <c r="F104" s="152">
        <f t="shared" si="23"/>
        <v>520813000</v>
      </c>
      <c r="G104" s="150"/>
      <c r="H104" s="150"/>
      <c r="I104" s="150">
        <v>0</v>
      </c>
      <c r="J104" s="152">
        <f t="shared" si="24"/>
        <v>0</v>
      </c>
      <c r="K104" s="153">
        <f t="shared" si="25"/>
        <v>520813000</v>
      </c>
    </row>
    <row r="105" spans="1:13" s="96" customFormat="1" ht="18" customHeight="1" x14ac:dyDescent="0.3">
      <c r="A105" s="148"/>
      <c r="B105" s="135" t="s">
        <v>80</v>
      </c>
      <c r="C105" s="150">
        <v>221923000</v>
      </c>
      <c r="D105" s="150">
        <v>222298000</v>
      </c>
      <c r="E105" s="150">
        <v>217211000</v>
      </c>
      <c r="F105" s="152">
        <f t="shared" si="23"/>
        <v>661432000</v>
      </c>
      <c r="G105" s="150"/>
      <c r="H105" s="150"/>
      <c r="I105" s="150"/>
      <c r="J105" s="152">
        <f t="shared" si="24"/>
        <v>0</v>
      </c>
      <c r="K105" s="153">
        <f t="shared" si="25"/>
        <v>661432000</v>
      </c>
    </row>
    <row r="106" spans="1:13" s="96" customFormat="1" ht="28.2" x14ac:dyDescent="0.3">
      <c r="A106" s="148" t="s">
        <v>81</v>
      </c>
      <c r="B106" s="135" t="s">
        <v>82</v>
      </c>
      <c r="C106" s="150">
        <v>19439109</v>
      </c>
      <c r="D106" s="150">
        <v>44459600</v>
      </c>
      <c r="E106" s="150">
        <v>26053421</v>
      </c>
      <c r="F106" s="152">
        <f t="shared" si="23"/>
        <v>89952130</v>
      </c>
      <c r="G106" s="150"/>
      <c r="H106" s="150">
        <v>3425000</v>
      </c>
      <c r="I106" s="150">
        <v>26053421</v>
      </c>
      <c r="J106" s="152">
        <f t="shared" si="24"/>
        <v>29478421</v>
      </c>
      <c r="K106" s="153">
        <f t="shared" si="25"/>
        <v>60473709</v>
      </c>
    </row>
    <row r="107" spans="1:13" s="96" customFormat="1" x14ac:dyDescent="0.3">
      <c r="A107" s="191" t="s">
        <v>312</v>
      </c>
      <c r="B107" s="192"/>
      <c r="C107" s="150">
        <f>C8+C66+C70+C71+C74+C79+C102+C103+C104+C105+C106</f>
        <v>11612912000</v>
      </c>
      <c r="D107" s="150">
        <f t="shared" ref="D107:I107" si="28">D8+D66+D70+D71+D74+D79+D102+D103+D104+D105+D106</f>
        <v>8570195000</v>
      </c>
      <c r="E107" s="150">
        <f t="shared" si="28"/>
        <v>8768097000</v>
      </c>
      <c r="F107" s="150">
        <f t="shared" si="28"/>
        <v>28951204000</v>
      </c>
      <c r="G107" s="150">
        <f t="shared" si="28"/>
        <v>6363483495</v>
      </c>
      <c r="H107" s="150">
        <f t="shared" si="28"/>
        <v>4163696743</v>
      </c>
      <c r="I107" s="150">
        <f t="shared" si="28"/>
        <v>4494209237</v>
      </c>
      <c r="J107" s="150">
        <f>J8+J66+J70+J71+J74+J79+J102+J103+J104+J105+J106</f>
        <v>15021389475</v>
      </c>
      <c r="K107" s="151">
        <f>K8+K66+K70+K71+K74+K79+K102+K103+K104+K105+K106</f>
        <v>13929814525</v>
      </c>
    </row>
    <row r="108" spans="1:13" s="96" customFormat="1" ht="16.2" thickBot="1" x14ac:dyDescent="0.35">
      <c r="A108" s="140"/>
      <c r="B108" s="141"/>
      <c r="C108" s="142"/>
      <c r="D108" s="143"/>
      <c r="E108" s="142"/>
      <c r="F108" s="142"/>
      <c r="G108" s="142"/>
      <c r="H108" s="142"/>
      <c r="I108" s="142"/>
      <c r="J108" s="142"/>
      <c r="K108" s="144"/>
    </row>
    <row r="109" spans="1:13" s="96" customFormat="1" ht="16.2" thickTop="1" x14ac:dyDescent="0.3">
      <c r="A109" s="145"/>
      <c r="B109" s="145"/>
      <c r="C109" s="146"/>
      <c r="D109" s="147"/>
      <c r="E109" s="146"/>
      <c r="F109" s="146"/>
      <c r="G109" s="146"/>
      <c r="H109" s="146"/>
      <c r="I109" s="146"/>
      <c r="J109" s="146"/>
      <c r="K109" s="146"/>
      <c r="M109" s="96" t="s">
        <v>313</v>
      </c>
    </row>
    <row r="110" spans="1:13" s="104" customFormat="1" ht="33" customHeight="1" x14ac:dyDescent="0.35">
      <c r="A110" s="189" t="s">
        <v>339</v>
      </c>
      <c r="B110" s="190"/>
      <c r="C110" s="190"/>
      <c r="D110" s="190"/>
      <c r="E110" s="190"/>
      <c r="F110" s="190"/>
      <c r="G110" s="190"/>
      <c r="H110" s="190"/>
      <c r="I110" s="190"/>
      <c r="J110" s="190"/>
      <c r="K110" s="190"/>
    </row>
    <row r="111" spans="1:13" s="96" customFormat="1" x14ac:dyDescent="0.3">
      <c r="A111" s="100"/>
      <c r="B111" s="100"/>
      <c r="C111" s="101"/>
      <c r="D111" s="102"/>
      <c r="E111" s="101"/>
      <c r="F111" s="101"/>
      <c r="G111" s="101"/>
      <c r="H111" s="101"/>
      <c r="I111" s="101"/>
      <c r="J111" s="101"/>
      <c r="K111" s="101"/>
    </row>
    <row r="112" spans="1:13" s="96" customFormat="1" x14ac:dyDescent="0.3">
      <c r="A112" s="100"/>
      <c r="B112" s="100"/>
      <c r="C112" s="101"/>
      <c r="D112" s="102"/>
      <c r="E112" s="101"/>
      <c r="F112" s="101"/>
      <c r="G112" s="101"/>
      <c r="H112" s="101"/>
      <c r="I112" s="101"/>
      <c r="J112" s="101"/>
      <c r="K112" s="101"/>
    </row>
    <row r="113" spans="1:11" s="96" customFormat="1" x14ac:dyDescent="0.3">
      <c r="A113" s="100"/>
      <c r="B113" s="100"/>
      <c r="C113" s="101"/>
      <c r="D113" s="102"/>
      <c r="E113" s="101"/>
      <c r="F113" s="101"/>
      <c r="G113" s="101"/>
      <c r="H113" s="101"/>
      <c r="I113" s="101"/>
      <c r="J113" s="101"/>
      <c r="K113" s="101"/>
    </row>
    <row r="114" spans="1:11" s="96" customFormat="1" x14ac:dyDescent="0.3">
      <c r="A114" s="100"/>
      <c r="B114" s="100"/>
      <c r="C114" s="101"/>
      <c r="D114" s="102"/>
      <c r="E114" s="101"/>
      <c r="F114" s="101"/>
      <c r="G114" s="101"/>
      <c r="H114" s="101"/>
      <c r="I114" s="101"/>
      <c r="J114" s="101"/>
      <c r="K114" s="101"/>
    </row>
    <row r="115" spans="1:11" s="96" customFormat="1" x14ac:dyDescent="0.3">
      <c r="A115" s="100"/>
      <c r="B115" s="100"/>
      <c r="C115" s="101"/>
      <c r="D115" s="102"/>
      <c r="E115" s="101"/>
      <c r="F115" s="101"/>
      <c r="G115" s="101"/>
      <c r="H115" s="101"/>
      <c r="I115" s="101"/>
      <c r="J115" s="101"/>
      <c r="K115" s="101"/>
    </row>
    <row r="116" spans="1:11" s="96" customFormat="1" x14ac:dyDescent="0.3">
      <c r="A116" s="100"/>
      <c r="B116" s="100"/>
      <c r="C116" s="101"/>
      <c r="D116" s="102"/>
      <c r="E116" s="101"/>
      <c r="F116" s="101"/>
      <c r="G116" s="101"/>
      <c r="H116" s="101"/>
      <c r="I116" s="101"/>
      <c r="J116" s="101"/>
      <c r="K116" s="101"/>
    </row>
    <row r="117" spans="1:11" s="96" customFormat="1" x14ac:dyDescent="0.3">
      <c r="A117" s="100"/>
      <c r="B117" s="100"/>
      <c r="C117" s="101"/>
      <c r="D117" s="102"/>
      <c r="E117" s="101"/>
      <c r="F117" s="101"/>
      <c r="G117" s="101"/>
      <c r="H117" s="101"/>
      <c r="I117" s="101"/>
      <c r="J117" s="101"/>
      <c r="K117" s="101"/>
    </row>
    <row r="118" spans="1:11" s="96" customFormat="1" x14ac:dyDescent="0.3">
      <c r="A118" s="100"/>
      <c r="B118" s="100"/>
      <c r="C118" s="101"/>
      <c r="D118" s="102"/>
      <c r="E118" s="101"/>
      <c r="F118" s="101"/>
      <c r="G118" s="101"/>
      <c r="H118" s="101"/>
      <c r="I118" s="101"/>
      <c r="J118" s="101"/>
      <c r="K118" s="101"/>
    </row>
    <row r="119" spans="1:11" s="96" customFormat="1" x14ac:dyDescent="0.3">
      <c r="A119" s="100"/>
      <c r="B119" s="100"/>
      <c r="C119" s="101"/>
      <c r="D119" s="102"/>
      <c r="E119" s="101"/>
      <c r="F119" s="101"/>
      <c r="G119" s="101"/>
      <c r="H119" s="101"/>
      <c r="I119" s="101"/>
      <c r="J119" s="101"/>
      <c r="K119" s="101"/>
    </row>
    <row r="120" spans="1:11" s="96" customFormat="1" x14ac:dyDescent="0.3">
      <c r="A120" s="100"/>
      <c r="B120" s="100"/>
      <c r="C120" s="101"/>
      <c r="D120" s="102"/>
      <c r="E120" s="101"/>
      <c r="F120" s="101"/>
      <c r="G120" s="101"/>
      <c r="H120" s="101"/>
      <c r="I120" s="101"/>
      <c r="J120" s="101"/>
      <c r="K120" s="101"/>
    </row>
    <row r="121" spans="1:11" s="96" customFormat="1" x14ac:dyDescent="0.3">
      <c r="A121" s="100"/>
      <c r="B121" s="100"/>
      <c r="C121" s="101"/>
      <c r="D121" s="102"/>
      <c r="E121" s="101"/>
      <c r="F121" s="101"/>
      <c r="G121" s="101"/>
      <c r="H121" s="101"/>
      <c r="I121" s="101"/>
      <c r="J121" s="101"/>
      <c r="K121" s="101"/>
    </row>
    <row r="122" spans="1:11" s="96" customFormat="1" x14ac:dyDescent="0.3">
      <c r="A122" s="100"/>
      <c r="B122" s="100"/>
      <c r="C122" s="101"/>
      <c r="D122" s="102"/>
      <c r="E122" s="101"/>
      <c r="F122" s="101"/>
      <c r="G122" s="101"/>
      <c r="H122" s="101"/>
      <c r="I122" s="101"/>
      <c r="J122" s="101"/>
      <c r="K122" s="101"/>
    </row>
    <row r="123" spans="1:11" s="96" customFormat="1" x14ac:dyDescent="0.3">
      <c r="A123" s="100"/>
      <c r="B123" s="100"/>
      <c r="C123" s="101"/>
      <c r="D123" s="102"/>
      <c r="E123" s="101"/>
      <c r="F123" s="101"/>
      <c r="G123" s="101"/>
      <c r="H123" s="101"/>
      <c r="I123" s="101"/>
      <c r="J123" s="101"/>
      <c r="K123" s="101"/>
    </row>
    <row r="124" spans="1:11" s="96" customFormat="1" x14ac:dyDescent="0.3">
      <c r="A124" s="100"/>
      <c r="B124" s="100"/>
      <c r="C124" s="101"/>
      <c r="D124" s="102"/>
      <c r="E124" s="101"/>
      <c r="F124" s="101"/>
      <c r="G124" s="101"/>
      <c r="H124" s="101"/>
      <c r="I124" s="101"/>
      <c r="J124" s="101"/>
      <c r="K124" s="101"/>
    </row>
    <row r="125" spans="1:11" s="96" customFormat="1" x14ac:dyDescent="0.3">
      <c r="A125" s="100"/>
      <c r="B125" s="100"/>
      <c r="C125" s="101"/>
      <c r="D125" s="102"/>
      <c r="E125" s="101"/>
      <c r="F125" s="101"/>
      <c r="G125" s="101"/>
      <c r="H125" s="101"/>
      <c r="I125" s="101"/>
      <c r="J125" s="101"/>
      <c r="K125" s="101"/>
    </row>
    <row r="126" spans="1:11" s="96" customFormat="1" x14ac:dyDescent="0.3">
      <c r="A126" s="100"/>
      <c r="B126" s="100"/>
      <c r="C126" s="101"/>
      <c r="D126" s="102"/>
      <c r="E126" s="101"/>
      <c r="F126" s="101"/>
      <c r="G126" s="101"/>
      <c r="H126" s="101"/>
      <c r="I126" s="101"/>
      <c r="J126" s="101"/>
      <c r="K126" s="101"/>
    </row>
    <row r="127" spans="1:11" s="96" customFormat="1" x14ac:dyDescent="0.3">
      <c r="A127" s="100"/>
      <c r="B127" s="100"/>
      <c r="C127" s="101"/>
      <c r="D127" s="102"/>
      <c r="E127" s="101"/>
      <c r="F127" s="101"/>
      <c r="G127" s="101"/>
      <c r="H127" s="101"/>
      <c r="I127" s="101"/>
      <c r="J127" s="101"/>
      <c r="K127" s="101"/>
    </row>
    <row r="128" spans="1:11" s="96" customFormat="1" x14ac:dyDescent="0.3">
      <c r="A128" s="100"/>
      <c r="B128" s="100"/>
      <c r="C128" s="101"/>
      <c r="D128" s="102"/>
      <c r="E128" s="101"/>
      <c r="F128" s="101"/>
      <c r="G128" s="101"/>
      <c r="H128" s="101"/>
      <c r="I128" s="101"/>
      <c r="J128" s="101"/>
      <c r="K128" s="101"/>
    </row>
    <row r="129" spans="1:11" s="96" customFormat="1" x14ac:dyDescent="0.3">
      <c r="A129" s="100"/>
      <c r="B129" s="100"/>
      <c r="C129" s="101"/>
      <c r="D129" s="102"/>
      <c r="E129" s="101"/>
      <c r="F129" s="101"/>
      <c r="G129" s="101"/>
      <c r="H129" s="101"/>
      <c r="I129" s="101"/>
      <c r="J129" s="101"/>
      <c r="K129" s="101"/>
    </row>
    <row r="130" spans="1:11" s="96" customFormat="1" x14ac:dyDescent="0.3">
      <c r="A130" s="100"/>
      <c r="B130" s="100"/>
      <c r="C130" s="101"/>
      <c r="D130" s="102"/>
      <c r="E130" s="101"/>
      <c r="F130" s="101"/>
      <c r="G130" s="101"/>
      <c r="H130" s="101"/>
      <c r="I130" s="101"/>
      <c r="J130" s="101"/>
      <c r="K130" s="101"/>
    </row>
    <row r="131" spans="1:11" s="96" customFormat="1" x14ac:dyDescent="0.3">
      <c r="A131" s="100"/>
      <c r="B131" s="100"/>
      <c r="C131" s="101"/>
      <c r="D131" s="102"/>
      <c r="E131" s="101"/>
      <c r="F131" s="101"/>
      <c r="G131" s="101"/>
      <c r="H131" s="101"/>
      <c r="I131" s="101"/>
      <c r="J131" s="101"/>
      <c r="K131" s="101"/>
    </row>
    <row r="132" spans="1:11" s="96" customFormat="1" x14ac:dyDescent="0.3">
      <c r="A132" s="100"/>
      <c r="B132" s="100"/>
      <c r="C132" s="101"/>
      <c r="D132" s="102"/>
      <c r="E132" s="101"/>
      <c r="F132" s="101"/>
      <c r="G132" s="101"/>
      <c r="H132" s="101"/>
      <c r="I132" s="101"/>
      <c r="J132" s="101"/>
      <c r="K132" s="101"/>
    </row>
    <row r="133" spans="1:11" s="96" customFormat="1" x14ac:dyDescent="0.3">
      <c r="A133" s="100"/>
      <c r="B133" s="100"/>
      <c r="C133" s="101"/>
      <c r="D133" s="102"/>
      <c r="E133" s="101"/>
      <c r="F133" s="101"/>
      <c r="G133" s="101"/>
      <c r="H133" s="101"/>
      <c r="I133" s="101"/>
      <c r="J133" s="101"/>
      <c r="K133" s="101"/>
    </row>
    <row r="134" spans="1:11" s="96" customFormat="1" x14ac:dyDescent="0.3">
      <c r="A134" s="100"/>
      <c r="B134" s="100"/>
      <c r="C134" s="101"/>
      <c r="D134" s="102"/>
      <c r="E134" s="101"/>
      <c r="F134" s="101"/>
      <c r="G134" s="101"/>
      <c r="H134" s="101"/>
      <c r="I134" s="101"/>
      <c r="J134" s="101"/>
      <c r="K134" s="101"/>
    </row>
    <row r="135" spans="1:11" s="96" customFormat="1" x14ac:dyDescent="0.3">
      <c r="A135" s="100"/>
      <c r="B135" s="100"/>
      <c r="C135" s="101"/>
      <c r="D135" s="102"/>
      <c r="E135" s="101"/>
      <c r="F135" s="101"/>
      <c r="G135" s="101"/>
      <c r="H135" s="101"/>
      <c r="I135" s="101"/>
      <c r="J135" s="101"/>
      <c r="K135" s="101"/>
    </row>
    <row r="136" spans="1:11" ht="31.2" x14ac:dyDescent="0.3">
      <c r="B136" s="94" t="s">
        <v>314</v>
      </c>
      <c r="C136" s="103">
        <v>11612912000</v>
      </c>
      <c r="D136" s="95">
        <v>8570195000</v>
      </c>
      <c r="E136" s="95">
        <v>8768097000</v>
      </c>
      <c r="G136" s="95">
        <v>6363483495</v>
      </c>
      <c r="H136" s="95">
        <v>4163696743</v>
      </c>
      <c r="I136" s="95">
        <v>4494389237</v>
      </c>
    </row>
    <row r="137" spans="1:11" x14ac:dyDescent="0.3">
      <c r="B137" s="94" t="s">
        <v>315</v>
      </c>
      <c r="C137" s="95">
        <f>C107-C136</f>
        <v>0</v>
      </c>
      <c r="D137" s="95">
        <f t="shared" ref="D137:K137" si="29">D107-D136</f>
        <v>0</v>
      </c>
      <c r="E137" s="95">
        <f>E107-E136</f>
        <v>0</v>
      </c>
      <c r="F137" s="95">
        <f t="shared" si="29"/>
        <v>28951204000</v>
      </c>
      <c r="G137" s="95">
        <f t="shared" si="29"/>
        <v>0</v>
      </c>
      <c r="H137" s="95">
        <f t="shared" si="29"/>
        <v>0</v>
      </c>
      <c r="I137" s="95">
        <f>I107-I136</f>
        <v>-180000</v>
      </c>
      <c r="J137" s="95">
        <f t="shared" si="29"/>
        <v>15021389475</v>
      </c>
      <c r="K137" s="95">
        <f t="shared" si="29"/>
        <v>13929814525</v>
      </c>
    </row>
    <row r="138" spans="1:11" x14ac:dyDescent="0.3">
      <c r="C138" s="95">
        <f>C107-C108</f>
        <v>11612912000</v>
      </c>
      <c r="D138" s="95">
        <f>D107-D108</f>
        <v>8570195000</v>
      </c>
      <c r="E138" s="95">
        <f>E107-E108</f>
        <v>8768097000</v>
      </c>
    </row>
    <row r="140" spans="1:11" x14ac:dyDescent="0.3">
      <c r="B140" s="94" t="s">
        <v>316</v>
      </c>
    </row>
    <row r="141" spans="1:11" x14ac:dyDescent="0.3">
      <c r="G141" s="95">
        <v>41448339</v>
      </c>
      <c r="H141" s="93"/>
      <c r="I141" s="93"/>
      <c r="J141" s="93"/>
      <c r="K141" s="93"/>
    </row>
    <row r="143" spans="1:11" ht="31.2" x14ac:dyDescent="0.3">
      <c r="B143" s="94" t="s">
        <v>317</v>
      </c>
      <c r="H143" s="93"/>
      <c r="I143" s="93"/>
      <c r="J143" s="93"/>
      <c r="K143" s="93"/>
    </row>
  </sheetData>
  <mergeCells count="12">
    <mergeCell ref="A110:K110"/>
    <mergeCell ref="A107:B107"/>
    <mergeCell ref="I1:K1"/>
    <mergeCell ref="B2:K2"/>
    <mergeCell ref="B3:K3"/>
    <mergeCell ref="B5:K5"/>
    <mergeCell ref="A6:A7"/>
    <mergeCell ref="B6:B7"/>
    <mergeCell ref="C6:F6"/>
    <mergeCell ref="G6:J6"/>
    <mergeCell ref="K6:K7"/>
    <mergeCell ref="A4:K4"/>
  </mergeCells>
  <pageMargins left="0.24" right="0.19" top="0.51" bottom="0.53" header="0.3" footer="0.3"/>
  <pageSetup paperSize="9" orientation="landscape" verticalDpi="0" r:id="rId1"/>
  <headerFooter>
    <oddFooter>&amp;C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Biểu số 01</vt:lpstr>
      <vt:lpstr>Biểu mẫu 02</vt:lpstr>
      <vt:lpstr>Biểu mẫu 03</vt:lpstr>
      <vt:lpstr>Biểu mẫu 04</vt:lpstr>
      <vt:lpstr>Phụ biểu 01</vt:lpstr>
      <vt:lpstr>'Biểu mẫu 03'!chuong_phuluc_34</vt:lpstr>
      <vt:lpstr>'Biểu mẫu 03'!chuong_phuluc_34_name</vt:lpstr>
      <vt:lpstr>'Biểu mẫu 04'!chuong_phuluc_37</vt:lpstr>
      <vt:lpstr>'Biểu mẫu 04'!chuong_phuluc_37_name</vt:lpstr>
      <vt:lpstr>'Biểu mẫu 02'!Print_Area</vt:lpstr>
      <vt:lpstr>'Biểu mẫu 03'!Print_Area</vt:lpstr>
      <vt:lpstr>'Biểu mẫu 04'!Print_Area</vt:lpstr>
      <vt:lpstr>'Phụ biểu 01'!Print_Area</vt:lpstr>
      <vt:lpstr>'Biểu mẫu 02'!Print_Titles</vt:lpstr>
      <vt:lpstr>'Biểu mẫu 03'!Print_Titles</vt:lpstr>
      <vt:lpstr>'Biểu mẫu 04'!Print_Titles</vt:lpstr>
      <vt:lpstr>'Phụ biểu 01'!Print_Titles</vt:lpstr>
    </vt:vector>
  </TitlesOfParts>
  <Company>Văn phòng Tỉnh ủy Quảng Ngãi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VNN.R9</dc:creator>
  <cp:lastModifiedBy>PC</cp:lastModifiedBy>
  <cp:lastPrinted>2025-08-01T04:04:13Z</cp:lastPrinted>
  <dcterms:created xsi:type="dcterms:W3CDTF">2025-07-17T01:21:32Z</dcterms:created>
  <dcterms:modified xsi:type="dcterms:W3CDTF">2025-08-04T01:35:27Z</dcterms:modified>
</cp:coreProperties>
</file>