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6" windowHeight="11040" firstSheet="1" activeTab="2"/>
  </bookViews>
  <sheets>
    <sheet name="PL1 DIEU CHINH NHIEM VU CHI" sheetId="16" r:id="rId1"/>
    <sheet name="PL 2 DIEU CHINH NGUON KCT" sheetId="15" r:id="rId2"/>
    <sheet name="PL3 PHAN BO KINH PHI QD95 (2)" sheetId="21" r:id="rId3"/>
    <sheet name="PL 3 KEM TO TRINH  LUONG" sheetId="12" state="hidden" r:id="rId4"/>
    <sheet name="bc" sheetId="1" state="hidden" r:id="rId5"/>
    <sheet name="phan tich sn kinh te" sheetId="4" state="hidden" r:id="rId6"/>
    <sheet name="Sheet2" sheetId="2" state="hidden" r:id="rId7"/>
    <sheet name="nhap so còn lai" sheetId="3" state="hidden" r:id="rId8"/>
    <sheet name="giải thích so " sheetId="5" state="hidden" r:id="rId9"/>
    <sheet name="quy tien luong" sheetId="6" state="hidden" r:id="rId10"/>
    <sheet name="trung tam cung ung" sheetId="10" state="hidden" r:id="rId11"/>
    <sheet name="uy ban mt" sheetId="11" state="hidden" r:id="rId12"/>
    <sheet name="TỎNG HOP" sheetId="9" state="hidden" r:id="rId13"/>
    <sheet name="de hop1" sheetId="19" state="hidden" r:id="rId14"/>
    <sheet name="DE HOP 2" sheetId="20" state="hidden" r:id="rId15"/>
    <sheet name="A quang" sheetId="23" state="hidden" r:id="rId16"/>
    <sheet name="phan VPHDND và UBND xã" sheetId="22" state="hidden" r:id="rId17"/>
    <sheet name="PHUONG ÁN TINH" sheetId="18" state="hidden" r:id="rId18"/>
  </sheets>
  <definedNames>
    <definedName name="_xlnm._FilterDatabase" localSheetId="4" hidden="1">bc!$A$7:$M$7</definedName>
    <definedName name="_xlnm.Print_Titles" localSheetId="15">'A quang'!$4:$4</definedName>
    <definedName name="_xlnm.Print_Titles" localSheetId="14">'DE HOP 2'!$6:$6</definedName>
    <definedName name="_xlnm.Print_Titles" localSheetId="16">'phan VPHDND và UBND xã'!$6:$6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15" l="1"/>
  <c r="D10" i="21" l="1"/>
  <c r="C10" i="21"/>
  <c r="E15" i="21"/>
  <c r="E12" i="21" l="1"/>
  <c r="E13" i="21"/>
  <c r="E14" i="21"/>
  <c r="E11" i="21"/>
  <c r="E10" i="21" s="1"/>
  <c r="E19" i="21"/>
  <c r="E20" i="21"/>
  <c r="E21" i="21"/>
  <c r="D16" i="21"/>
  <c r="A6" i="16"/>
  <c r="C5" i="23" l="1"/>
  <c r="H11" i="20"/>
  <c r="H14" i="20"/>
  <c r="H15" i="20"/>
  <c r="H16" i="20"/>
  <c r="H17" i="20"/>
  <c r="H20" i="20"/>
  <c r="H22" i="20"/>
  <c r="H25" i="20"/>
  <c r="H26" i="20"/>
  <c r="H29" i="20"/>
  <c r="H32" i="20"/>
  <c r="H35" i="20"/>
  <c r="H36" i="20"/>
  <c r="D24" i="20"/>
  <c r="D23" i="20" s="1"/>
  <c r="E24" i="20"/>
  <c r="E23" i="20" s="1"/>
  <c r="E7" i="20" s="1"/>
  <c r="G24" i="20"/>
  <c r="G23" i="20" s="1"/>
  <c r="D27" i="20"/>
  <c r="E27" i="20"/>
  <c r="G27" i="20"/>
  <c r="D30" i="20"/>
  <c r="E30" i="20"/>
  <c r="G30" i="20"/>
  <c r="D33" i="20"/>
  <c r="E33" i="20"/>
  <c r="G33" i="20"/>
  <c r="C33" i="20"/>
  <c r="C30" i="20"/>
  <c r="C27" i="20"/>
  <c r="C24" i="20"/>
  <c r="D9" i="20"/>
  <c r="E9" i="20"/>
  <c r="F9" i="20"/>
  <c r="G9" i="20"/>
  <c r="D12" i="20"/>
  <c r="E12" i="20"/>
  <c r="F12" i="20"/>
  <c r="H12" i="20" s="1"/>
  <c r="G12" i="20"/>
  <c r="D18" i="20"/>
  <c r="E18" i="20"/>
  <c r="G18" i="20"/>
  <c r="C18" i="20"/>
  <c r="C9" i="20"/>
  <c r="C12" i="20"/>
  <c r="F21" i="20"/>
  <c r="H21" i="20" s="1"/>
  <c r="F13" i="20"/>
  <c r="H13" i="20" s="1"/>
  <c r="F19" i="20"/>
  <c r="H19" i="20" s="1"/>
  <c r="F25" i="20"/>
  <c r="F24" i="20" s="1"/>
  <c r="F28" i="20"/>
  <c r="H28" i="20" s="1"/>
  <c r="F31" i="20"/>
  <c r="F30" i="20" s="1"/>
  <c r="H30" i="20" s="1"/>
  <c r="F34" i="20"/>
  <c r="F33" i="20" s="1"/>
  <c r="F10" i="20"/>
  <c r="H10" i="20" s="1"/>
  <c r="F27" i="20" l="1"/>
  <c r="H27" i="20" s="1"/>
  <c r="G8" i="20"/>
  <c r="G7" i="20" s="1"/>
  <c r="H31" i="20"/>
  <c r="D8" i="20"/>
  <c r="D7" i="20" s="1"/>
  <c r="F18" i="20"/>
  <c r="H18" i="20" s="1"/>
  <c r="H33" i="20"/>
  <c r="C8" i="23"/>
  <c r="C9" i="23" s="1"/>
  <c r="F23" i="20"/>
  <c r="H24" i="20"/>
  <c r="C8" i="20"/>
  <c r="C7" i="20" s="1"/>
  <c r="C23" i="20"/>
  <c r="H34" i="20"/>
  <c r="H9" i="20"/>
  <c r="E17" i="22"/>
  <c r="E16" i="22"/>
  <c r="E15" i="22" s="1"/>
  <c r="C54" i="22"/>
  <c r="C53" i="22"/>
  <c r="C56" i="22" s="1"/>
  <c r="E14" i="22"/>
  <c r="E10" i="22" s="1"/>
  <c r="E19" i="22" s="1"/>
  <c r="E8" i="22"/>
  <c r="C37" i="20" l="1"/>
  <c r="F8" i="20"/>
  <c r="G37" i="20"/>
  <c r="H23" i="20"/>
  <c r="D55" i="22"/>
  <c r="D56" i="22" s="1"/>
  <c r="D22" i="21"/>
  <c r="H8" i="20" l="1"/>
  <c r="F7" i="20"/>
  <c r="H37" i="20"/>
  <c r="F37" i="20"/>
  <c r="E18" i="21"/>
  <c r="C24" i="21"/>
  <c r="E24" i="21" s="1"/>
  <c r="D25" i="21"/>
  <c r="D74" i="20"/>
  <c r="D73" i="20"/>
  <c r="H7" i="20" l="1"/>
  <c r="J8" i="20"/>
  <c r="D76" i="20"/>
  <c r="E30" i="18" l="1"/>
  <c r="E75" i="20" l="1"/>
  <c r="E76" i="20" l="1"/>
  <c r="D24" i="18" l="1"/>
  <c r="F23" i="18" s="1"/>
  <c r="C24" i="18"/>
  <c r="C21" i="18"/>
  <c r="E31" i="18" l="1"/>
  <c r="F31" i="18" s="1"/>
  <c r="F33" i="18" s="1"/>
  <c r="C30" i="18"/>
  <c r="C32" i="18" s="1"/>
  <c r="D15" i="19"/>
  <c r="C15" i="19"/>
  <c r="H13" i="19"/>
  <c r="E13" i="19"/>
  <c r="F13" i="19" s="1"/>
  <c r="C23" i="21" s="1"/>
  <c r="H12" i="19"/>
  <c r="E12" i="19"/>
  <c r="G12" i="19" s="1"/>
  <c r="H11" i="19"/>
  <c r="E11" i="19"/>
  <c r="F11" i="19" s="1"/>
  <c r="H10" i="19"/>
  <c r="E10" i="19"/>
  <c r="F15" i="19" l="1"/>
  <c r="C17" i="21"/>
  <c r="C16" i="21" s="1"/>
  <c r="E23" i="21"/>
  <c r="E22" i="21" s="1"/>
  <c r="C22" i="21"/>
  <c r="E15" i="19"/>
  <c r="G10" i="19"/>
  <c r="E17" i="21" l="1"/>
  <c r="E16" i="21" s="1"/>
  <c r="E25" i="21" s="1"/>
  <c r="G15" i="19"/>
  <c r="H14" i="19"/>
  <c r="H15" i="19" s="1"/>
  <c r="F11" i="15"/>
  <c r="F10" i="15"/>
  <c r="D15" i="12"/>
  <c r="H15" i="12"/>
  <c r="G13" i="12"/>
  <c r="G12" i="12"/>
  <c r="G11" i="12"/>
  <c r="G10" i="12"/>
  <c r="C15" i="12"/>
  <c r="C25" i="21" l="1"/>
  <c r="C14" i="16"/>
  <c r="E16" i="16"/>
  <c r="E17" i="16"/>
  <c r="E15" i="16"/>
  <c r="E14" i="16" s="1"/>
  <c r="E12" i="16"/>
  <c r="E13" i="16"/>
  <c r="E11" i="16"/>
  <c r="D10" i="16"/>
  <c r="C10" i="16"/>
  <c r="E10" i="16" l="1"/>
  <c r="E18" i="16" s="1"/>
  <c r="D14" i="16"/>
  <c r="F18" i="16"/>
  <c r="E11" i="12"/>
  <c r="F11" i="12" s="1"/>
  <c r="E12" i="12"/>
  <c r="E13" i="12"/>
  <c r="F13" i="12" s="1"/>
  <c r="E10" i="12"/>
  <c r="G14" i="12" s="1"/>
  <c r="G15" i="12" s="1"/>
  <c r="F15" i="12" l="1"/>
  <c r="E15" i="12"/>
  <c r="E11" i="15"/>
  <c r="E10" i="15"/>
  <c r="D12" i="15"/>
  <c r="E12" i="15" l="1"/>
  <c r="F12" i="15" l="1"/>
  <c r="C12" i="15"/>
  <c r="C13" i="9" l="1"/>
  <c r="D17" i="9"/>
  <c r="F9" i="9" l="1"/>
  <c r="V13" i="11"/>
  <c r="V14" i="11"/>
  <c r="V15" i="11"/>
  <c r="V16" i="11"/>
  <c r="V17" i="11"/>
  <c r="V18" i="11"/>
  <c r="V19" i="11"/>
  <c r="V20" i="11"/>
  <c r="V21" i="11"/>
  <c r="V22" i="11"/>
  <c r="U22" i="11"/>
  <c r="I22" i="11"/>
  <c r="U21" i="11"/>
  <c r="I21" i="11"/>
  <c r="G21" i="11"/>
  <c r="D21" i="11" s="1"/>
  <c r="U20" i="11"/>
  <c r="R20" i="11"/>
  <c r="I20" i="11"/>
  <c r="G20" i="11"/>
  <c r="D20" i="11"/>
  <c r="U19" i="11"/>
  <c r="I19" i="11"/>
  <c r="U18" i="11"/>
  <c r="I18" i="11"/>
  <c r="G18" i="11" s="1"/>
  <c r="D18" i="11" s="1"/>
  <c r="U17" i="11"/>
  <c r="I17" i="11"/>
  <c r="G17" i="11"/>
  <c r="D17" i="11"/>
  <c r="Y17" i="11" s="1"/>
  <c r="U16" i="11"/>
  <c r="R16" i="11"/>
  <c r="I16" i="11"/>
  <c r="G16" i="11" s="1"/>
  <c r="D16" i="11" s="1"/>
  <c r="Y16" i="11" s="1"/>
  <c r="U15" i="11"/>
  <c r="I15" i="11"/>
  <c r="G15" i="11" s="1"/>
  <c r="D15" i="11" s="1"/>
  <c r="Y15" i="11" s="1"/>
  <c r="U14" i="11"/>
  <c r="I14" i="11"/>
  <c r="G14" i="11" s="1"/>
  <c r="D14" i="11" s="1"/>
  <c r="Y14" i="11" s="1"/>
  <c r="U13" i="11"/>
  <c r="R13" i="11"/>
  <c r="K13" i="11"/>
  <c r="I13" i="11"/>
  <c r="V12" i="11"/>
  <c r="U12" i="11"/>
  <c r="R12" i="11"/>
  <c r="K12" i="11"/>
  <c r="I12" i="11"/>
  <c r="G12" i="11" s="1"/>
  <c r="D12" i="11" s="1"/>
  <c r="X11" i="11"/>
  <c r="W11" i="11"/>
  <c r="T11" i="11"/>
  <c r="S11" i="11"/>
  <c r="Q11" i="11"/>
  <c r="P11" i="11"/>
  <c r="O11" i="11"/>
  <c r="N11" i="11"/>
  <c r="M11" i="11"/>
  <c r="L11" i="11"/>
  <c r="J11" i="11"/>
  <c r="H11" i="11"/>
  <c r="F11" i="11"/>
  <c r="E11" i="11"/>
  <c r="G19" i="11" l="1"/>
  <c r="D19" i="11" s="1"/>
  <c r="G22" i="11"/>
  <c r="D22" i="11" s="1"/>
  <c r="Y22" i="11" s="1"/>
  <c r="Y18" i="11"/>
  <c r="K11" i="11"/>
  <c r="I11" i="11"/>
  <c r="G13" i="11"/>
  <c r="D13" i="11" s="1"/>
  <c r="Y13" i="11" s="1"/>
  <c r="Y20" i="11"/>
  <c r="U11" i="11"/>
  <c r="R11" i="11"/>
  <c r="G11" i="11"/>
  <c r="Y21" i="11"/>
  <c r="Y19" i="11"/>
  <c r="V11" i="11"/>
  <c r="Y12" i="11"/>
  <c r="D11" i="11" l="1"/>
  <c r="Y11" i="11"/>
  <c r="C7" i="9" s="1"/>
  <c r="T17" i="10"/>
  <c r="W16" i="10"/>
  <c r="V16" i="10"/>
  <c r="U16" i="10"/>
  <c r="N16" i="10"/>
  <c r="S16" i="10" s="1"/>
  <c r="T16" i="10" s="1"/>
  <c r="M16" i="10"/>
  <c r="W15" i="10"/>
  <c r="V15" i="10"/>
  <c r="U15" i="10"/>
  <c r="N15" i="10"/>
  <c r="S15" i="10" s="1"/>
  <c r="T15" i="10" s="1"/>
  <c r="M15" i="10"/>
  <c r="W14" i="10"/>
  <c r="V14" i="10"/>
  <c r="U14" i="10"/>
  <c r="R14" i="10"/>
  <c r="Q14" i="10"/>
  <c r="P14" i="10"/>
  <c r="M14" i="10"/>
  <c r="N14" i="10" s="1"/>
  <c r="W13" i="10"/>
  <c r="V13" i="10"/>
  <c r="U13" i="10"/>
  <c r="X13" i="10" s="1"/>
  <c r="R13" i="10"/>
  <c r="R10" i="10" s="1"/>
  <c r="Q13" i="10"/>
  <c r="P13" i="10"/>
  <c r="M13" i="10"/>
  <c r="N13" i="10" s="1"/>
  <c r="W12" i="10"/>
  <c r="V12" i="10"/>
  <c r="U12" i="10"/>
  <c r="R12" i="10"/>
  <c r="Q12" i="10"/>
  <c r="P12" i="10"/>
  <c r="K12" i="10"/>
  <c r="M12" i="10" s="1"/>
  <c r="W11" i="10"/>
  <c r="V11" i="10"/>
  <c r="V18" i="10" s="1"/>
  <c r="U11" i="10"/>
  <c r="R11" i="10"/>
  <c r="Q11" i="10"/>
  <c r="P11" i="10"/>
  <c r="O11" i="10" s="1"/>
  <c r="M11" i="10"/>
  <c r="N11" i="10" s="1"/>
  <c r="L10" i="10"/>
  <c r="J10" i="10"/>
  <c r="I10" i="10"/>
  <c r="H10" i="10"/>
  <c r="G10" i="10"/>
  <c r="F10" i="10"/>
  <c r="Q10" i="10" l="1"/>
  <c r="O12" i="10"/>
  <c r="X12" i="10"/>
  <c r="X14" i="10"/>
  <c r="Y14" i="10" s="1"/>
  <c r="P10" i="10"/>
  <c r="E7" i="9"/>
  <c r="G7" i="9"/>
  <c r="H7" i="9" s="1"/>
  <c r="X11" i="10"/>
  <c r="X18" i="10" s="1"/>
  <c r="O14" i="10"/>
  <c r="S14" i="10" s="1"/>
  <c r="T14" i="10" s="1"/>
  <c r="W18" i="10"/>
  <c r="Y13" i="10"/>
  <c r="M10" i="10"/>
  <c r="N12" i="10"/>
  <c r="O13" i="10"/>
  <c r="S13" i="10" s="1"/>
  <c r="T13" i="10" s="1"/>
  <c r="U18" i="10"/>
  <c r="K10" i="10"/>
  <c r="S11" i="10"/>
  <c r="Y11" i="10" l="1"/>
  <c r="S12" i="10"/>
  <c r="T12" i="10" s="1"/>
  <c r="Y12" i="10"/>
  <c r="Y18" i="10" s="1"/>
  <c r="N10" i="10"/>
  <c r="T11" i="10"/>
  <c r="S10" i="10"/>
  <c r="O10" i="10"/>
  <c r="T10" i="10" l="1"/>
  <c r="T18" i="10" l="1"/>
  <c r="G8" i="9" l="1"/>
  <c r="H8" i="9" s="1"/>
  <c r="G6" i="9" l="1"/>
  <c r="H6" i="9" s="1"/>
  <c r="D19" i="6" l="1"/>
  <c r="D8" i="9" s="1"/>
  <c r="E8" i="9" s="1"/>
  <c r="D6" i="9"/>
  <c r="E6" i="9" s="1"/>
  <c r="C10" i="6" l="1"/>
  <c r="D10" i="6" s="1"/>
  <c r="F10" i="6" s="1"/>
  <c r="C9" i="9" l="1"/>
  <c r="G5" i="9"/>
  <c r="G9" i="9" s="1"/>
  <c r="D50" i="1"/>
  <c r="D49" i="1" s="1"/>
  <c r="E50" i="1"/>
  <c r="E49" i="1" s="1"/>
  <c r="F50" i="1"/>
  <c r="F49" i="1" s="1"/>
  <c r="G50" i="1"/>
  <c r="G49" i="1" s="1"/>
  <c r="D46" i="1"/>
  <c r="D45" i="1" s="1"/>
  <c r="E46" i="1"/>
  <c r="E45" i="1" s="1"/>
  <c r="F46" i="1"/>
  <c r="F45" i="1" s="1"/>
  <c r="G46" i="1"/>
  <c r="G45" i="1" s="1"/>
  <c r="D43" i="1"/>
  <c r="D42" i="1" s="1"/>
  <c r="E43" i="1"/>
  <c r="E42" i="1" s="1"/>
  <c r="F43" i="1"/>
  <c r="F42" i="1" s="1"/>
  <c r="G43" i="1"/>
  <c r="G42" i="1" s="1"/>
  <c r="D39" i="1"/>
  <c r="D38" i="1" s="1"/>
  <c r="E39" i="1"/>
  <c r="E38" i="1" s="1"/>
  <c r="F39" i="1"/>
  <c r="F38" i="1" s="1"/>
  <c r="G39" i="1"/>
  <c r="G38" i="1" s="1"/>
  <c r="H5" i="9" l="1"/>
  <c r="D77" i="1"/>
  <c r="D76" i="1" s="1"/>
  <c r="E77" i="1"/>
  <c r="E76" i="1" s="1"/>
  <c r="F77" i="1"/>
  <c r="F76" i="1" s="1"/>
  <c r="G77" i="1"/>
  <c r="G76" i="1" s="1"/>
  <c r="D59" i="1"/>
  <c r="D58" i="1" s="1"/>
  <c r="E59" i="1"/>
  <c r="F59" i="1"/>
  <c r="F58" i="1" s="1"/>
  <c r="E58" i="1"/>
  <c r="H62" i="1"/>
  <c r="H63" i="1"/>
  <c r="H64" i="1"/>
  <c r="H65" i="1"/>
  <c r="H66" i="1"/>
  <c r="H67" i="1"/>
  <c r="H68" i="1"/>
  <c r="H69" i="1"/>
  <c r="H70" i="1"/>
  <c r="H71" i="1"/>
  <c r="H72" i="1"/>
  <c r="H73" i="1"/>
  <c r="H74" i="1"/>
  <c r="H75" i="1"/>
  <c r="H61" i="1"/>
  <c r="G60" i="1"/>
  <c r="G59" i="1" s="1"/>
  <c r="G58" i="1" s="1"/>
  <c r="C60" i="1"/>
  <c r="C59" i="1" s="1"/>
  <c r="F67" i="4"/>
  <c r="F62" i="4"/>
  <c r="F63" i="4"/>
  <c r="F64" i="4"/>
  <c r="F65" i="4"/>
  <c r="F66" i="4"/>
  <c r="F68" i="4"/>
  <c r="F69" i="4"/>
  <c r="F70" i="4"/>
  <c r="F71" i="4"/>
  <c r="F72" i="4"/>
  <c r="F73" i="4"/>
  <c r="F74" i="4"/>
  <c r="F75" i="4"/>
  <c r="D60" i="4"/>
  <c r="D59" i="4" s="1"/>
  <c r="E60" i="4"/>
  <c r="E59" i="4" s="1"/>
  <c r="F61" i="4"/>
  <c r="K38" i="5"/>
  <c r="F34" i="5"/>
  <c r="I32" i="5"/>
  <c r="K34" i="5" s="1"/>
  <c r="F32" i="5"/>
  <c r="E32" i="5"/>
  <c r="F31" i="5"/>
  <c r="E31" i="5"/>
  <c r="F30" i="5"/>
  <c r="F27" i="5"/>
  <c r="F26" i="5"/>
  <c r="F25" i="5"/>
  <c r="E22" i="5"/>
  <c r="F60" i="4" l="1"/>
  <c r="F59" i="4" s="1"/>
  <c r="F33" i="5"/>
  <c r="J33" i="5" s="1"/>
  <c r="J35" i="5" s="1"/>
  <c r="F28" i="5"/>
  <c r="H60" i="1"/>
  <c r="H59" i="1" s="1"/>
  <c r="H58" i="1" s="1"/>
  <c r="C77" i="4"/>
  <c r="C76" i="4"/>
  <c r="C60" i="4"/>
  <c r="C59" i="4" s="1"/>
  <c r="C58" i="4" s="1"/>
  <c r="C50" i="4"/>
  <c r="C49" i="4" s="1"/>
  <c r="C46" i="4"/>
  <c r="C45" i="4" s="1"/>
  <c r="C43" i="4"/>
  <c r="C42" i="4" s="1"/>
  <c r="C39" i="4"/>
  <c r="C38" i="4" s="1"/>
  <c r="C26" i="4"/>
  <c r="C19" i="4" s="1"/>
  <c r="C23" i="4" l="1"/>
  <c r="C31" i="4"/>
  <c r="C35" i="4"/>
  <c r="C9" i="4"/>
  <c r="C8" i="4" s="1"/>
  <c r="G26" i="2" l="1"/>
  <c r="G10" i="1" l="1"/>
  <c r="E10" i="1"/>
  <c r="D11" i="2"/>
  <c r="D15" i="2" s="1"/>
  <c r="D17" i="2" s="1"/>
  <c r="E31" i="1"/>
  <c r="F31" i="1"/>
  <c r="G31" i="1"/>
  <c r="I31" i="1"/>
  <c r="E35" i="1"/>
  <c r="F35" i="1"/>
  <c r="G35" i="1"/>
  <c r="I35" i="1"/>
  <c r="D26" i="1"/>
  <c r="E26" i="1"/>
  <c r="F26" i="1"/>
  <c r="G26" i="1"/>
  <c r="I26" i="1"/>
  <c r="H28" i="1"/>
  <c r="H27" i="1"/>
  <c r="C8" i="6" s="1"/>
  <c r="D8" i="6" s="1"/>
  <c r="H21" i="1" l="1"/>
  <c r="H29" i="1"/>
  <c r="H26" i="1" s="1"/>
  <c r="H30" i="1"/>
  <c r="H40" i="1"/>
  <c r="H41" i="1"/>
  <c r="H44" i="1"/>
  <c r="H43" i="1" s="1"/>
  <c r="H42" i="1" s="1"/>
  <c r="H47" i="1"/>
  <c r="H48" i="1"/>
  <c r="H51" i="1"/>
  <c r="H52" i="1"/>
  <c r="H53" i="1"/>
  <c r="H54" i="1"/>
  <c r="H55" i="1"/>
  <c r="H56" i="1"/>
  <c r="H57" i="1"/>
  <c r="H78" i="1"/>
  <c r="H77" i="1" s="1"/>
  <c r="H76" i="1" s="1"/>
  <c r="G19" i="1"/>
  <c r="G9" i="1" s="1"/>
  <c r="G8" i="1" s="1"/>
  <c r="H11" i="1"/>
  <c r="H12" i="1"/>
  <c r="H13" i="1"/>
  <c r="H14" i="1"/>
  <c r="H15" i="1"/>
  <c r="H16" i="1"/>
  <c r="H17" i="1"/>
  <c r="H18" i="1"/>
  <c r="H10" i="1"/>
  <c r="C6" i="6" s="1"/>
  <c r="D6" i="6" s="1"/>
  <c r="C77" i="1"/>
  <c r="C76" i="1"/>
  <c r="C58" i="1"/>
  <c r="C50" i="1"/>
  <c r="C49" i="1" s="1"/>
  <c r="C46" i="1"/>
  <c r="C45" i="1" s="1"/>
  <c r="C43" i="1"/>
  <c r="C39" i="1"/>
  <c r="C38" i="1" s="1"/>
  <c r="H37" i="1" s="1"/>
  <c r="H34" i="1" s="1"/>
  <c r="H33" i="1" s="1"/>
  <c r="H32" i="1" s="1"/>
  <c r="C26" i="1"/>
  <c r="H25" i="1" s="1"/>
  <c r="H22" i="1" s="1"/>
  <c r="C19" i="1" s="1"/>
  <c r="H46" i="1" l="1"/>
  <c r="H45" i="1" s="1"/>
  <c r="H50" i="1"/>
  <c r="H49" i="1" s="1"/>
  <c r="H39" i="1"/>
  <c r="H38" i="1" s="1"/>
  <c r="C23" i="1"/>
  <c r="H23" i="1" s="1"/>
  <c r="C42" i="1"/>
  <c r="H31" i="1"/>
  <c r="H20" i="1"/>
  <c r="H19" i="1" s="1"/>
  <c r="H9" i="1" s="1"/>
  <c r="C9" i="1"/>
  <c r="C35" i="1"/>
  <c r="H36" i="1"/>
  <c r="H35" i="1" s="1"/>
  <c r="H24" i="1"/>
  <c r="C7" i="6" s="1"/>
  <c r="D7" i="6" s="1"/>
  <c r="D9" i="6" s="1"/>
  <c r="C31" i="1"/>
  <c r="D5" i="9" l="1"/>
  <c r="D11" i="6"/>
  <c r="C8" i="1"/>
  <c r="L8" i="1" s="1"/>
  <c r="H8" i="1"/>
  <c r="D9" i="9" l="1"/>
  <c r="F11" i="9" s="1"/>
  <c r="E5" i="9"/>
  <c r="E9" i="9" s="1"/>
  <c r="H9" i="9"/>
</calcChain>
</file>

<file path=xl/comments1.xml><?xml version="1.0" encoding="utf-8"?>
<comments xmlns="http://schemas.openxmlformats.org/spreadsheetml/2006/main">
  <authors>
    <author>VNN.R9</author>
  </authors>
  <commentList>
    <comment ref="G55" authorId="0">
      <text>
        <r>
          <rPr>
            <b/>
            <sz val="9"/>
            <color indexed="81"/>
            <rFont val="Tahoma"/>
            <family val="2"/>
          </rPr>
          <t xml:space="preserve">số này Loan liên hệ Ly
</t>
        </r>
        <r>
          <rPr>
            <sz val="9"/>
            <color indexed="81"/>
            <rFont val="Tahoma"/>
            <family val="2"/>
          </rPr>
          <t xml:space="preserve">
</t>
        </r>
      </text>
    </comment>
    <comment ref="G56" authorId="0">
      <text>
        <r>
          <rPr>
            <b/>
            <sz val="9"/>
            <color indexed="81"/>
            <rFont val="Tahoma"/>
            <family val="2"/>
          </rPr>
          <t>Loan liên hệ Ly lấy Số liệu ch xác</t>
        </r>
      </text>
    </comment>
    <comment ref="G57" authorId="0">
      <text>
        <r>
          <rPr>
            <b/>
            <sz val="9"/>
            <color indexed="81"/>
            <rFont val="Tahoma"/>
            <family val="2"/>
          </rPr>
          <t xml:space="preserve">Loan liên hệ Ly
</t>
        </r>
        <r>
          <rPr>
            <sz val="9"/>
            <color indexed="81"/>
            <rFont val="Tahoma"/>
            <family val="2"/>
          </rPr>
          <t xml:space="preserve">
</t>
        </r>
      </text>
    </comment>
    <comment ref="C75" authorId="0">
      <text>
        <r>
          <rPr>
            <b/>
            <sz val="9"/>
            <color indexed="81"/>
            <rFont val="Tahoma"/>
            <family val="2"/>
          </rPr>
          <t xml:space="preserve">101 + 161 (VI.4)
</t>
        </r>
        <r>
          <rPr>
            <sz val="9"/>
            <color indexed="81"/>
            <rFont val="Tahoma"/>
            <family val="2"/>
          </rPr>
          <t xml:space="preserve">
</t>
        </r>
      </text>
    </comment>
  </commentList>
</comments>
</file>

<file path=xl/comments2.xml><?xml version="1.0" encoding="utf-8"?>
<comments xmlns="http://schemas.openxmlformats.org/spreadsheetml/2006/main">
  <authors>
    <author>VNN.R9</author>
  </authors>
  <commentList>
    <comment ref="C75" authorId="0">
      <text>
        <r>
          <rPr>
            <b/>
            <sz val="9"/>
            <color indexed="81"/>
            <rFont val="Tahoma"/>
            <family val="2"/>
          </rPr>
          <t xml:space="preserve">101 + 161 (VI.4)
</t>
        </r>
        <r>
          <rPr>
            <sz val="9"/>
            <color indexed="81"/>
            <rFont val="Tahoma"/>
            <family val="2"/>
          </rPr>
          <t xml:space="preserve">
</t>
        </r>
      </text>
    </comment>
  </commentList>
</comments>
</file>

<file path=xl/comments3.xml><?xml version="1.0" encoding="utf-8"?>
<comments xmlns="http://schemas.openxmlformats.org/spreadsheetml/2006/main">
  <authors>
    <author>VNN.R9</author>
  </authors>
  <commentList>
    <comment ref="F11" authorId="0">
      <text>
        <r>
          <rPr>
            <b/>
            <sz val="9"/>
            <color indexed="81"/>
            <rFont val="Tahoma"/>
            <family val="2"/>
            <charset val="163"/>
          </rPr>
          <t>VNN.R9:</t>
        </r>
        <r>
          <rPr>
            <sz val="9"/>
            <color indexed="81"/>
            <rFont val="Tahoma"/>
            <family val="2"/>
            <charset val="163"/>
          </rPr>
          <t xml:space="preserve">
01/6/2024; 9/9</t>
        </r>
      </text>
    </comment>
    <comment ref="C12" authorId="0">
      <text>
        <r>
          <rPr>
            <b/>
            <sz val="9"/>
            <color indexed="81"/>
            <rFont val="Tahoma"/>
            <family val="2"/>
            <charset val="163"/>
          </rPr>
          <t>VNN.R9:</t>
        </r>
        <r>
          <rPr>
            <sz val="9"/>
            <color indexed="81"/>
            <rFont val="Tahoma"/>
            <family val="2"/>
            <charset val="163"/>
          </rPr>
          <t xml:space="preserve">
Kỹ thuật viên chẩn đoán bệnh động vật hạng III, theo TTLT 37/2015/TTLT-BNNPTNT-BNV</t>
        </r>
      </text>
    </comment>
  </commentList>
</comments>
</file>

<file path=xl/sharedStrings.xml><?xml version="1.0" encoding="utf-8"?>
<sst xmlns="http://schemas.openxmlformats.org/spreadsheetml/2006/main" count="643" uniqueCount="402">
  <si>
    <t>DỰ TOÁN THU, CHI NGÂN SÁCH NHÀ NƯỚC NĂM 2025</t>
  </si>
  <si>
    <t>Đơn vị: Văn phòng HĐND và UBND xã Sơn Hà</t>
  </si>
  <si>
    <t>Mã số đơn vị có quan hệ với ngân sách: 1159925</t>
  </si>
  <si>
    <t>ĐVT: Triệu đồng</t>
  </si>
  <si>
    <t>STT</t>
  </si>
  <si>
    <t>Nội dung</t>
  </si>
  <si>
    <t>Dự toán
năm 2025</t>
  </si>
  <si>
    <t>Ghi chú</t>
  </si>
  <si>
    <t>A</t>
  </si>
  <si>
    <t>Dự toán thu ngân sách nhà nước</t>
  </si>
  <si>
    <t>B</t>
  </si>
  <si>
    <t>Dự toán chi ngân sách cấp xã</t>
  </si>
  <si>
    <t>I</t>
  </si>
  <si>
    <t>Chi QLNN, Đảng, đoàn thể, TCXH:</t>
  </si>
  <si>
    <t>Lương, BHXH, BHYT, KPCĐ CBCC</t>
  </si>
  <si>
    <t xml:space="preserve">Lương, BHXH KCT xã </t>
  </si>
  <si>
    <t>Phụ cấp KCT thôn</t>
  </si>
  <si>
    <t>Kinh phí hoạt động Văn phòng HĐND xã</t>
  </si>
  <si>
    <t xml:space="preserve">Chi cho đại biểu HĐND xã </t>
  </si>
  <si>
    <t>Kinh phí hoạt động Văn phòng UBND xã</t>
  </si>
  <si>
    <t>Kinh phí một cửa theo Nghị quyết 35/2021/NQ-HĐND</t>
  </si>
  <si>
    <t>Kinh phí mua sắm tài sản</t>
  </si>
  <si>
    <t>Chi đội công tác xã hội tình nguyện (Sơn Thượng cũ)</t>
  </si>
  <si>
    <t>Kinh phí hoạt động Phòng Văn hóa - Xã hội xã</t>
  </si>
  <si>
    <t>10.1</t>
  </si>
  <si>
    <t>Chi hoạt động cân đối</t>
  </si>
  <si>
    <t>10.2</t>
  </si>
  <si>
    <t>Quỹ thi đua khen thưởng</t>
  </si>
  <si>
    <t>Kinh phí hoạt động Phòng Kinh tế xã</t>
  </si>
  <si>
    <t>Kinh phí Trung tâm phục vụ hành chính công</t>
  </si>
  <si>
    <t>12.1</t>
  </si>
  <si>
    <t>Lương, phụ cấp</t>
  </si>
  <si>
    <t>12.2</t>
  </si>
  <si>
    <t>Kinh phí Ban quân sự xã</t>
  </si>
  <si>
    <t>13.1</t>
  </si>
  <si>
    <t>13.2</t>
  </si>
  <si>
    <t>13.3</t>
  </si>
  <si>
    <t>Kinh phí cân đối hoạt động Công an xã</t>
  </si>
  <si>
    <t>II</t>
  </si>
  <si>
    <t>Chi an ninh</t>
  </si>
  <si>
    <t>Định mức</t>
  </si>
  <si>
    <t xml:space="preserve">Ban thanh tra nhân dân </t>
  </si>
  <si>
    <t>Kinh phí tổ an ninh theo Nghị quyết số 12/2024/NQ-HĐND</t>
  </si>
  <si>
    <t>III</t>
  </si>
  <si>
    <t>Chi quốc phòng</t>
  </si>
  <si>
    <t>Đề án dân quân bảo vệ trụ sở xã</t>
  </si>
  <si>
    <t>IV</t>
  </si>
  <si>
    <t>Chi sự nghiệp văn hóa thông tin</t>
  </si>
  <si>
    <t>Phòng Văn hóa - Xã hội xã (Văn phòng HĐND và UBND xã điều hành)</t>
  </si>
  <si>
    <t>KP khu dân cư và Ban chỉ đạo</t>
  </si>
  <si>
    <t>KP hoạt động sự nghiệp văn hóa thông tin</t>
  </si>
  <si>
    <t>V</t>
  </si>
  <si>
    <t>Chi sự nghiệp phát thanh, truyền hình, thông tấn</t>
  </si>
  <si>
    <t>VI</t>
  </si>
  <si>
    <t>Chi sự nghiệp thể dục thể thao</t>
  </si>
  <si>
    <t>Đại hội thể dục thể thao</t>
  </si>
  <si>
    <t>VII</t>
  </si>
  <si>
    <t>Chi sự nghiệp đảm bảo xã hội</t>
  </si>
  <si>
    <t>Kinh phí hỗ chúc thọ cho người cao tuổi</t>
  </si>
  <si>
    <t>Kinh phí hỗ trợ công tác viên bảo vệ, chăm sóc và giáo dục trẻ em ở thôn, tổ dân phố</t>
  </si>
  <si>
    <t>Kinh phí thực hiện chính sách khuyến khích sử dụng hình thức hỏa táng theo Nghị quyết số 29/2024/NQ-HĐND</t>
  </si>
  <si>
    <t>Bảo trợ xã hội theo Nghị định số 20/2021/NĐ-CP</t>
  </si>
  <si>
    <t>Hỗ trợ tiền điện cho hộ nghèo, hộ CSXH</t>
  </si>
  <si>
    <t>Chế độ thù lao cá nhân chi trả trợ cấp BTXH theo QĐ số 1133/QĐ-UBND ngày 27/6/2016</t>
  </si>
  <si>
    <t>VIII</t>
  </si>
  <si>
    <t>Chi sự nghiệp kinh tế</t>
  </si>
  <si>
    <t>Văn phòng HĐND và UBND xã</t>
  </si>
  <si>
    <t>IX</t>
  </si>
  <si>
    <t>Chi sự nghiệp môi trường</t>
  </si>
  <si>
    <t>Phòng Kinh tế xã (Văn phòng HĐND và UBND xã điều hành)</t>
  </si>
  <si>
    <t>Ghi chú:</t>
  </si>
  <si>
    <t>- Số phân bổ sau tiết kiệm chi và trích quỹ thi đua khen thưởng.</t>
  </si>
  <si>
    <t>Số đã chi đến 30/6/2025</t>
  </si>
  <si>
    <t>Số còn</t>
  </si>
  <si>
    <t>căn cứ lấy số liệu</t>
  </si>
  <si>
    <t>số tiền</t>
  </si>
  <si>
    <t>I1.1</t>
  </si>
  <si>
    <t>I1.2</t>
  </si>
  <si>
    <t>ms4</t>
  </si>
  <si>
    <t>I2,3</t>
  </si>
  <si>
    <t>I.2 4</t>
  </si>
  <si>
    <t>lương cc</t>
  </si>
  <si>
    <t>hđnd</t>
  </si>
  <si>
    <t>ủy ban</t>
  </si>
  <si>
    <t>phân bổ ra</t>
  </si>
  <si>
    <t>trung tâm hcc</t>
  </si>
  <si>
    <t>trung tâm dvc</t>
  </si>
  <si>
    <t>quân sự</t>
  </si>
  <si>
    <t>công an</t>
  </si>
  <si>
    <t>chi quản lý hành chính</t>
  </si>
  <si>
    <t>hoạt động</t>
  </si>
  <si>
    <t>hoạt động ủy ban</t>
  </si>
  <si>
    <t>trừ</t>
  </si>
  <si>
    <t>phòng kt</t>
  </si>
  <si>
    <t>phòng văn hóa</t>
  </si>
  <si>
    <t>pvh</t>
  </si>
  <si>
    <t>pkt</t>
  </si>
  <si>
    <t>trung tâm dv hcc</t>
  </si>
  <si>
    <t>trung tâm cung ứng dvc</t>
  </si>
  <si>
    <t>van phòng ub</t>
  </si>
  <si>
    <t>Lương, BHXH, BHYT, KPCĐ CBCC (830-341-12)</t>
  </si>
  <si>
    <t>Lương, BHXH KCT xã (830-341-12)</t>
  </si>
  <si>
    <t>Phụ cấp KCT thôn (830-341-12)</t>
  </si>
  <si>
    <t>Kinh phí hoạt động Văn phòng HĐND xã (830-341-12)</t>
  </si>
  <si>
    <t>Chi cho đại biểu HĐND xã (830-341-12)</t>
  </si>
  <si>
    <t>Kinh phí hoạt động Văn phòng UBND xã (830-341-12)</t>
  </si>
  <si>
    <t>Kinh phí một cửa theo Nghị quyết 35/2021/NQ-HĐND (830-341-12)</t>
  </si>
  <si>
    <t>Kinh phí mua sắm tài sản (830-341-12)</t>
  </si>
  <si>
    <t>Chi đội công tác xã hội tình nguyện (Sơn Thượng cũ)  (830-341-12)</t>
  </si>
  <si>
    <t>Kinh phí hoạt động Phòng Văn hóa - Xã hội xã (830-341-12)</t>
  </si>
  <si>
    <t>Kinh phí hoạt động Phòng Kinh tế xã  (830-341-12)</t>
  </si>
  <si>
    <t>Kinh phí Trung tâm phục vụ hành chính công  (830-341-12)</t>
  </si>
  <si>
    <t>Kinh phí Ban quân sự xã (830-011-12)</t>
  </si>
  <si>
    <t>Kinh phí cân đối hoạt động Công an xã (830-041-12)</t>
  </si>
  <si>
    <t>Chi an ninh (830-041-12)</t>
  </si>
  <si>
    <t>Chi quốc phòng (830-011-12)</t>
  </si>
  <si>
    <t xml:space="preserve">Chi sự nghiệp văn hóa thông tin </t>
  </si>
  <si>
    <t>KP khu dân cư và Ban chỉ đạo (830-161-12)</t>
  </si>
  <si>
    <t>KP hoạt động sự nghiệp văn hóa thông tin  (830-171-12)</t>
  </si>
  <si>
    <t>Chi sự nghiệp phát thanh, truyền hình, thông tấn (830-191-12)</t>
  </si>
  <si>
    <t>Chi sự nghiệp thể dục thể thao (830-221-12)</t>
  </si>
  <si>
    <t xml:space="preserve">Chi sự nghiệp đảm bảo xã hội </t>
  </si>
  <si>
    <t>Định mức (830-398-12)</t>
  </si>
  <si>
    <t>Kinh phí hỗ chúc thọ cho người cao tuổi (830-398-12)</t>
  </si>
  <si>
    <t>Kinh phí hỗ trợ công tác viên bảo vệ, chăm sóc và giáo dục trẻ em ở thôn, tổ dân phố (830-372-12)</t>
  </si>
  <si>
    <t>Kinh phí thực hiện chính sách khuyến khích sử dụng hình thức hỏa táng theo Nghị quyết số 29/2024/NQ-HĐND (830-398-12)</t>
  </si>
  <si>
    <t>Bảo trợ xã hội theo Nghị định số 20/2021/NĐ-CP (830-398-12)</t>
  </si>
  <si>
    <t>Hỗ trợ tiền điện cho hộ nghèo, hộ CSXH (830-398-12)</t>
  </si>
  <si>
    <t>Chế độ thù lao cá nhân chi trả trợ cấp BTXH theo QĐ số 1133/QĐ-UBND ngày 27/6/2016 (830-398-12)</t>
  </si>
  <si>
    <t>Thực hiện Mô hình sử dụng giống lúa mới năng suất cao trong sản xuất lúa, tập huấn kỹ thuật cho người trồng lúa tại Cánh đồng Rộc, thôn Nước Tăm (830-281-12)</t>
  </si>
  <si>
    <t>Thực hiện Mô hình sử dụng giống lúa mới năng suất cao trong sản xuất lúa, tập huấn kỹ thuật cho người trồng lúa tại Cánh đồng Ruộng Trường, thôn Gò Răng (830-281-12)</t>
  </si>
  <si>
    <t>Sửa chữa, duy tu kênh Đập Suối Dầu (đồng Ruộng Đi, thôn Gò Răng) (830-283-12)</t>
  </si>
  <si>
    <t>Hỗ trợ đường điện thắp sáng đường quê (830-338-12)</t>
  </si>
  <si>
    <t>Hỗ trợ điểm bán hàng Ocop (830-281-12)</t>
  </si>
  <si>
    <t>Hỗ trợ mô hình trồng lú năm 2025 trên địa bàn xã Sơn Bao. (830-281-12)</t>
  </si>
  <si>
    <t>Sửa chữa nhà sinh hoạt cộng đồng tổ dân phố Nước Rạc (830-161-12)</t>
  </si>
  <si>
    <t>Hỗ trợ bò đực giống Zebu và mô hình trồng rau trên địa bàn thị trấn Di Lăng (830-281-12)</t>
  </si>
  <si>
    <t>Thực hiện phương án quản lý các công trình công cộng trên địa bàn thị trấn năm 2025 (830-341-12)</t>
  </si>
  <si>
    <t>Thực hiện phương án quản lý các công trình công cộng trên địa bàn thị trấn năm 2025 (830-398-12)</t>
  </si>
  <si>
    <t>Chỉnh trang vỉa hè đoạn từ cầu Tà Man 2 đi cầu sông Rin mới (830-292-12)</t>
  </si>
  <si>
    <t>Sửa chữa vỉa hè tại một số vị trí bị hư hỏng trên các trục đường thuộc KDC Cà Tu và tuyến đường Phạm Văn Đồng (830-292-12)</t>
  </si>
  <si>
    <t>KP hỗ trợ cho ngân sách cấp xã tổ chức bảo vệ rừng tại cơ sở theo QĐ số 02 (830-282-12)</t>
  </si>
  <si>
    <t>Vốn đối ứng NS huyện hỗ trợ làm đường GTNT năm 2025 (830-292-12)</t>
  </si>
  <si>
    <t>Kinh phí làm đường điện thắp sáng đường quê năm 2025 (830-338-12)</t>
  </si>
  <si>
    <t>Chi sự nghiệp môi trường (830-278-12)</t>
  </si>
  <si>
    <t>đã sd</t>
  </si>
  <si>
    <t>phụ biểu</t>
  </si>
  <si>
    <t>trên phân tích</t>
  </si>
  <si>
    <t>cát sạn huyện</t>
  </si>
  <si>
    <t>cát sạn</t>
  </si>
  <si>
    <t>đường điện</t>
  </si>
  <si>
    <t>đã dùng</t>
  </si>
  <si>
    <t>lý do đường điện 262</t>
  </si>
  <si>
    <t>bằng 161 tiền huyện cấp theo qđ 161</t>
  </si>
  <si>
    <t>101 triệu còn lại là Bao: 80 trong nghị quyết, Lăng 21 trong nghị quyết và  bàn giao. Số còn lại phải tách cho Sơn Bao</t>
  </si>
  <si>
    <t>Hỗ trợ mô hình trồng lúa năm 2025 trên địa bàn xã Sơn Bao. (830-281-12)</t>
  </si>
  <si>
    <t>văn phòng ub</t>
  </si>
  <si>
    <t>bao gồm tất cả biên chế trừ trung tâm cung ứng dvc</t>
  </si>
  <si>
    <t>vp ub, hđnd</t>
  </si>
  <si>
    <t>tt hcc</t>
  </si>
  <si>
    <t>bqs</t>
  </si>
  <si>
    <t>tổng</t>
  </si>
  <si>
    <t>đã sd từ tháng 7 đến t9</t>
  </si>
  <si>
    <t>còn từ sau tháng 9</t>
  </si>
  <si>
    <t>ĐẢNG ỦY</t>
  </si>
  <si>
    <t xml:space="preserve">QUỸ LƯƠNG PHÂN BỔ </t>
  </si>
  <si>
    <t>sử dụng tháng 7,8</t>
  </si>
  <si>
    <t>BÁO CÁO NHU CẦU QUỸ TIỀN LƯƠNG NĂM 2025</t>
  </si>
  <si>
    <t>TT</t>
  </si>
  <si>
    <t>Họ và tên</t>
  </si>
  <si>
    <t>Tổng cộng</t>
  </si>
  <si>
    <t>Từ tháng</t>
  </si>
  <si>
    <t>Đến tháng</t>
  </si>
  <si>
    <t>PC kiêm nhiệm</t>
  </si>
  <si>
    <t>PC độc hại</t>
  </si>
  <si>
    <t>C</t>
  </si>
  <si>
    <t>D</t>
  </si>
  <si>
    <t>Thủ trưởng đơn vị</t>
  </si>
  <si>
    <t>lý do còn: số lượng cán bộ công chức nghỉ 11</t>
  </si>
  <si>
    <t>quỹ lương tính là số còn lại sau 30/6/2025</t>
  </si>
  <si>
    <t>Tên đơn vị</t>
  </si>
  <si>
    <t>Văn phòng Đảng ủy xã Sơn Hà</t>
  </si>
  <si>
    <t>Uỷ ban Mặt trận Tổ quốc Việt Nam xã Sơn Hà</t>
  </si>
  <si>
    <t>Văn phòng HĐND và UBND xã Sơn Hà</t>
  </si>
  <si>
    <t>Trung tâm Cung ứng Dịch vụ công xã Sơn Hà</t>
  </si>
  <si>
    <t>Số dự toán còn lại đã được phân bổ tại QĐ số 08/QĐ-UBND ngày 01/8/2025</t>
  </si>
  <si>
    <t>Nhu cầu lương năm 2025</t>
  </si>
  <si>
    <t>trung tâm cung ứng dịch vụ công</t>
  </si>
  <si>
    <t>PHỤ LỤC 1</t>
  </si>
  <si>
    <t>(Ban hành kèm theo Công văn số 11-CV-VPĐU ngày 10 tháng 09/2025 của Văn phòng Đảng ủy)</t>
  </si>
  <si>
    <t>Đơn vị tính: triệu đồng.</t>
  </si>
  <si>
    <t>Chức danh</t>
  </si>
  <si>
    <t>Hệ số lương, phụ cấp và các khoản đóng góp</t>
  </si>
  <si>
    <t xml:space="preserve">Tổng số tháng </t>
  </si>
  <si>
    <t xml:space="preserve">Trong đó: </t>
  </si>
  <si>
    <t>Nhu cầu quỹ lương 2025</t>
  </si>
  <si>
    <t>Hệ số lương theo ngạch</t>
  </si>
  <si>
    <t>Hệ số chức vụ</t>
  </si>
  <si>
    <t xml:space="preserve">Tổng hệ số các khoản phụ cấp </t>
  </si>
  <si>
    <t>Trong đó</t>
  </si>
  <si>
    <t>Phụ cấp khu vực</t>
  </si>
  <si>
    <t>Phụ cấp công vụ</t>
  </si>
  <si>
    <t xml:space="preserve"> TN nghề</t>
  </si>
  <si>
    <t>PC CT Đảng 30%</t>
  </si>
  <si>
    <t>Phụ cấp trách nhiệm (kế toán)</t>
  </si>
  <si>
    <t>hệ số phụ cấp trách nhiệm</t>
  </si>
  <si>
    <t>PC TN Vượt khung</t>
  </si>
  <si>
    <t>PC đặc biệt ngành</t>
  </si>
  <si>
    <t>Hệ số phụ cấp thu hút (NĐ 76/2019)</t>
  </si>
  <si>
    <t>Hệ số phụ cấp lâu năm (NĐ 76/2019)</t>
  </si>
  <si>
    <t>Phụ cấp ưu đãi</t>
  </si>
  <si>
    <t>Hệ số các khoản đóng góp: 17,5%BHXH,3%BHYT,  1%BHTN (nếu có)</t>
  </si>
  <si>
    <t>3</t>
  </si>
  <si>
    <t>4</t>
  </si>
  <si>
    <t>5</t>
  </si>
  <si>
    <t>6</t>
  </si>
  <si>
    <t>14</t>
  </si>
  <si>
    <t>15</t>
  </si>
  <si>
    <t>16</t>
  </si>
  <si>
    <t>17</t>
  </si>
  <si>
    <t>18</t>
  </si>
  <si>
    <t>19</t>
  </si>
  <si>
    <t>20</t>
  </si>
  <si>
    <t>21</t>
  </si>
  <si>
    <t>22</t>
  </si>
  <si>
    <t>23</t>
  </si>
  <si>
    <t>TỔNG SỐ</t>
  </si>
  <si>
    <t>Dương Ngọc Thạch</t>
  </si>
  <si>
    <t>Chuyên viên</t>
  </si>
  <si>
    <t>Nguyễn Thị Hoa</t>
  </si>
  <si>
    <t>Kế Toán</t>
  </si>
  <si>
    <t>Ngày       tháng 9 năm 2025</t>
  </si>
  <si>
    <t>CHÁNH VĂN PHÒNG</t>
  </si>
  <si>
    <t>Đơn vị: Trung tâm Cung ứng Dịch vụ công xã Sơn Hà</t>
  </si>
  <si>
    <t>Mã đơn vị SDNS: 1155168</t>
  </si>
  <si>
    <t>BẢNG NHU CẦU TIỀN LƯƠNG và kinh phí hoạt động 6 THÁNG CUỐI NĂM 2025</t>
  </si>
  <si>
    <t>(Kèm theo Công văn số …/     ngày …/8/2025 của Trung tâm Cung ứng Dịch vụ công xã Sơn Hà)</t>
  </si>
  <si>
    <t xml:space="preserve">Số: </t>
  </si>
  <si>
    <t>LCS: 2,34trđ</t>
  </si>
  <si>
    <t>Mã số 
CBCC, 
viên chức</t>
  </si>
  <si>
    <t>Họ và Tên</t>
  </si>
  <si>
    <t>Cấp bậc chức vụ</t>
  </si>
  <si>
    <t>Lương hệ số</t>
  </si>
  <si>
    <t>Bảo hiểm cơ quan đóng</t>
  </si>
  <si>
    <t>Tổng cộng tiền lương và BHXH phải trả 1 tháng</t>
  </si>
  <si>
    <t>Nhu cầu tiền lương và BHXH phải trả 6 tháng</t>
  </si>
  <si>
    <t>Các Khoản trừ vào lương</t>
  </si>
  <si>
    <t>Tổng 
tiền lương 
còn 
được nhận</t>
  </si>
  <si>
    <t>Ghi 
chú</t>
  </si>
  <si>
    <t>Hệ 
số 
lương</t>
  </si>
  <si>
    <t>Hệ số PC CV</t>
  </si>
  <si>
    <t>Hệ số phụ cấp khác</t>
  </si>
  <si>
    <t>Cộng hệ số</t>
  </si>
  <si>
    <t>Thành Tiền</t>
  </si>
  <si>
    <t>Cộng</t>
  </si>
  <si>
    <t>BHXH 
(17,5%)</t>
  </si>
  <si>
    <t>BHYT 
(3%)</t>
  </si>
  <si>
    <t>BHTN 
(1%)</t>
  </si>
  <si>
    <t>BHXH 
(8%)</t>
  </si>
  <si>
    <t>BHYT 
(1,5%)</t>
  </si>
  <si>
    <t>Khu vực</t>
  </si>
  <si>
    <t>Vượt khung</t>
  </si>
  <si>
    <t>PC trách nhiệm</t>
  </si>
  <si>
    <t>Ưu đãi</t>
  </si>
  <si>
    <t>PC 
cấp 
ủy</t>
  </si>
  <si>
    <t>10=7-(8+9)</t>
  </si>
  <si>
    <t>15=10-14</t>
  </si>
  <si>
    <t>Nhu cầu tiền lương</t>
  </si>
  <si>
    <t>01.003</t>
  </si>
  <si>
    <t>Đặng Thị Hoàng</t>
  </si>
  <si>
    <t>GĐ</t>
  </si>
  <si>
    <t>2</t>
  </si>
  <si>
    <t>V03.04.11</t>
  </si>
  <si>
    <t>Nguyễn Thị Thúy</t>
  </si>
  <si>
    <t>CBKT</t>
  </si>
  <si>
    <t>Đinh Minh Trí</t>
  </si>
  <si>
    <t>CV</t>
  </si>
  <si>
    <t>Đàm Thanh Vân</t>
  </si>
  <si>
    <t>HĐ</t>
  </si>
  <si>
    <t>Đinh Thị Bích Ly</t>
  </si>
  <si>
    <t>KCT</t>
  </si>
  <si>
    <t>Đinh Hậu</t>
  </si>
  <si>
    <t>Nhu cầu kinh phí hoạt động (5 biên chế *(33trđ/năm*1/2)</t>
  </si>
  <si>
    <r>
      <t xml:space="preserve">Tổng số tiền (Viết bằng chữ): </t>
    </r>
    <r>
      <rPr>
        <i/>
        <sz val="11"/>
        <rFont val="Times New Roman"/>
        <family val="1"/>
        <charset val="163"/>
      </rPr>
      <t xml:space="preserve"> Bốn trăm triệu, chín trăm hai mươi chín nghìn ba trăm lẻ sáu đồng.</t>
    </r>
  </si>
  <si>
    <t>Ngày      tháng      năm 2025</t>
  </si>
  <si>
    <t>ỦY  BAN MTTQ VIỆT NAM XÃ SƠN HÀ</t>
  </si>
  <si>
    <t>Đinh Văn Đinh</t>
  </si>
  <si>
    <t>CT.UBMTTQVN xã</t>
  </si>
  <si>
    <t>Trương Quang Thái Bảo</t>
  </si>
  <si>
    <t>PCTUBMT kiêm BT ĐTN</t>
  </si>
  <si>
    <t>Đinh Ni Na</t>
  </si>
  <si>
    <t>PCTUBMT kiêm CT CCB</t>
  </si>
  <si>
    <t>Nguyễn Văn Trọng</t>
  </si>
  <si>
    <t>PCT UBMT kiêm CT HND</t>
  </si>
  <si>
    <t>Nguyễn Thị Hương Lan</t>
  </si>
  <si>
    <t>PCT UBMT kiêm CT HLHPN</t>
  </si>
  <si>
    <t>Đinh Văn Ná</t>
  </si>
  <si>
    <t>Đinh Thị Năng</t>
  </si>
  <si>
    <t>Đinh Thị Gái</t>
  </si>
  <si>
    <t>Đinh Văn Trãi</t>
  </si>
  <si>
    <t>Đinh Văn Trai</t>
  </si>
  <si>
    <t>hệ số phân bổ quỹ tiền lương chung của xã</t>
  </si>
  <si>
    <t>Số tiền phân bổ trên quỹ tiền lương sau sáp nhập</t>
  </si>
  <si>
    <t>Nhu cầu còn thiếu năm 2025</t>
  </si>
  <si>
    <t>Nhu cầu thừa, thiếu so quyết định đã giao</t>
  </si>
  <si>
    <t>(Kèm theo Quyết định số 07/QĐ-UBND ngày 01/8/2025 của UBND xã Sơn Hà)</t>
  </si>
  <si>
    <t xml:space="preserve"> - Đơn vị sử dụng ngân sách Quyết định giao dự toán chi tiết, gửi Phòng Kinh tế và gửi KBNN kiểm soát chi theo quy định./.</t>
  </si>
  <si>
    <t>NGUỒN TIỀN LƯƠNG</t>
  </si>
  <si>
    <t>NGUỒN KCT XÃ</t>
  </si>
  <si>
    <t>GIẢM</t>
  </si>
  <si>
    <t>TĂNG</t>
  </si>
  <si>
    <t xml:space="preserve">ỦY BAN NHÂN DÂN </t>
  </si>
  <si>
    <t>XÃ SƠN HÀ</t>
  </si>
  <si>
    <t>Đơn vị</t>
  </si>
  <si>
    <t>CỘNG HÒA XÃ HỘI CHỦ NGHĨA VIỆT NAM</t>
  </si>
  <si>
    <t>Độc lập - Tự do - Hạnh phúc</t>
  </si>
  <si>
    <t>ĐVT: đồng</t>
  </si>
  <si>
    <t>Số điều chỉnh</t>
  </si>
  <si>
    <t>PHỤ LỤC KÈM PHƯƠNG ÁN  PHÂN BỔ LẠI QUỸ TIỀN LƯƠNG NĂM 2025</t>
  </si>
  <si>
    <t>Số dự toán còn lại đã được phân bổ tại QĐ số 07/QĐ-UBND ngày 01/8/2025</t>
  </si>
  <si>
    <t>Văn phòng HĐND và UBND xã Sơn Hà (bao gồm Phòng Kinh tế; Phòng Văn hóa - Xã hội; Trung tâm Hành chính công)</t>
  </si>
  <si>
    <t>(Kèm theo Tờ trình số         /TTr-UBND ngày      tháng 9 năm 2025 của UBND xã Sơn Hà)</t>
  </si>
  <si>
    <t>PHỤ LỤC ĐIỀU CHỈNH DỰ TOÁN PHỤ CẤP NĂM 2025 THEO NQ 30/2023/NQ-HĐND</t>
  </si>
  <si>
    <t>Phụ lục 03</t>
  </si>
  <si>
    <t>Phụ lục 01</t>
  </si>
  <si>
    <t>Phụ lục 02</t>
  </si>
  <si>
    <t>Văn phòng HĐND và UBND xã Sơn Hà ( Phòng Văn hóa - Xã hội)</t>
  </si>
  <si>
    <t>PHỤ LỤC ĐIỀU CHỈNH DỰ TOÁN THEO NHIỆM VỤ CHI</t>
  </si>
  <si>
    <t>Số tiền phân bổ từ quỹ tiền lương theo QĐ 95/QĐ-UBND của tỉnh</t>
  </si>
  <si>
    <t>UBND xã điều hành</t>
  </si>
  <si>
    <t>Số tiền các đơn vị phải chuyển trả lại ngân sách xã</t>
  </si>
  <si>
    <t>Quỹ tiền lương năm 2025 các đơn vị điều hành năm 2025</t>
  </si>
  <si>
    <t>Số dự toán phụ cấp theo NĐ 30/2023/NQ-HĐND sau điều chỉnh</t>
  </si>
  <si>
    <t>VP ĐẢNG ỦY</t>
  </si>
  <si>
    <t>UBMT</t>
  </si>
  <si>
    <t>VP HĐND</t>
  </si>
  <si>
    <t>UBND</t>
  </si>
  <si>
    <t>Nộp trả cấp trên</t>
  </si>
  <si>
    <t>Số dự toán còn lại đã được phân bổ tại NQ 16/NQ-HĐND và QĐ số 07/QĐ-UBND ngày 01/8/2025</t>
  </si>
  <si>
    <t>PHỤ LỤC KÈM PHƯƠNG ÁN  PHÂN BỔ TIỀN LƯƠNG, HOẠT ĐỘNG NĂM 2025</t>
  </si>
  <si>
    <t xml:space="preserve">tỏng tiền </t>
  </si>
  <si>
    <t>đã phân bổ</t>
  </si>
  <si>
    <t>mục tiêu</t>
  </si>
  <si>
    <t>hoạt động khác</t>
  </si>
  <si>
    <t>ubmt</t>
  </si>
  <si>
    <t>đtn</t>
  </si>
  <si>
    <t>(bao gồm cđ 7,5 tr NQ 30)</t>
  </si>
  <si>
    <t>hpn</t>
  </si>
  <si>
    <t>hccb</t>
  </si>
  <si>
    <t>hnd</t>
  </si>
  <si>
    <t>ubmt cũ</t>
  </si>
  <si>
    <t>điều chỉnh trong qđ 07</t>
  </si>
  <si>
    <t>nội dung chi, không điều chỉnh dự toán</t>
  </si>
  <si>
    <t>vp đảng ủy xã</t>
  </si>
  <si>
    <t>NQ 30</t>
  </si>
  <si>
    <t>PHỤ LỤC KÈM PHƯƠNG ÁN  PHÂN BỔ LẠI QUỸ TIỀN HOẠT ĐỘNG</t>
  </si>
  <si>
    <t>Chi rà soát hộ nghèo</t>
  </si>
  <si>
    <t>Chi phòng chống dịch cây trồng, vật nuôi</t>
  </si>
  <si>
    <t>Số biên chế</t>
  </si>
  <si>
    <t>Chỉ số tính bình quân</t>
  </si>
  <si>
    <t>Số tiền phân bổ</t>
  </si>
  <si>
    <t>Số phân bổ</t>
  </si>
  <si>
    <t>vp</t>
  </si>
  <si>
    <t>qđ 95</t>
  </si>
  <si>
    <t>đu</t>
  </si>
  <si>
    <t>Nguồn QĐ 95</t>
  </si>
  <si>
    <t>Chi BCĐ phòng thủ dân sự</t>
  </si>
  <si>
    <t>Chi hoạt động công tác tuyển quân</t>
  </si>
  <si>
    <t>tổng được phẩn bổ</t>
  </si>
  <si>
    <t>phân theo 95</t>
  </si>
  <si>
    <t>Nguồn tiền lương 2025</t>
  </si>
  <si>
    <t>Nguồn hoạt động 2025</t>
  </si>
  <si>
    <t>Chi hoạt động</t>
  </si>
  <si>
    <t>Tổng số tiền phân bổ</t>
  </si>
  <si>
    <t>Lương, phụ cấp theo lương</t>
  </si>
  <si>
    <t>Trình Phương án họp thống nhất chi hoạt động</t>
  </si>
  <si>
    <t xml:space="preserve">Văn phòng HĐND và UBND xã Sơn Hà </t>
  </si>
  <si>
    <t>Trình Phương án họp thống nhất Lương</t>
  </si>
  <si>
    <t>Số dự toán còn lại đã được phân bổ tại QĐ số 07/QĐ-UBND ngày 01/8/2025(chuẩn xác sau khi đổ số liệu tháng 9/2025) và nguồn qđ 95</t>
  </si>
  <si>
    <t>Phòng Kinh tế</t>
  </si>
  <si>
    <t>Phòng Văn hóa - xã hội</t>
  </si>
  <si>
    <t>BCHQS xã</t>
  </si>
  <si>
    <t>Chi định biên</t>
  </si>
  <si>
    <t>Phòng Văn hóa - Xã hội</t>
  </si>
  <si>
    <t>Ban Xây dựng Đảng</t>
  </si>
  <si>
    <t>Ủy Ban Kiểm tra Đảng</t>
  </si>
  <si>
    <t>Trung Tâm chính trị</t>
  </si>
  <si>
    <t>Ban chỉ huy Quân sự xã</t>
  </si>
  <si>
    <t>Văn phòng HĐND và UBND xã Sơn Hà (bao gồm Phòng Kinh tế; Phòng Văn hóa - Xã hội)</t>
  </si>
  <si>
    <t>Số tiền phân bổ theo Quyết định 95 của UBND tỉnh</t>
  </si>
  <si>
    <t>Tăng (+), giảm (+) so với NQ 16/NQ-HĐND và QĐ số 07/QĐ-UBND ngày 01/8/2025</t>
  </si>
  <si>
    <t>Chi hoạt động Văn phòng Đảng ủy</t>
  </si>
  <si>
    <t>Chi hoạt động Ban Xây dựng Đảng</t>
  </si>
  <si>
    <t>Chi hoạt động Ủy ban Kiểm tra Đảng ủy</t>
  </si>
  <si>
    <t>Chi hoạt động của Trung tâm chính trị</t>
  </si>
  <si>
    <t>Chi rà soát hộ nghèo (Phòng Kinh tế)</t>
  </si>
  <si>
    <t>Chi hoạt động công tác tuyển quân (Ban Chỉ huy Quân sự xã)</t>
  </si>
  <si>
    <t>Chi hoạt động của UBND xã</t>
  </si>
  <si>
    <t>Chi hoạt động của HĐND xã</t>
  </si>
  <si>
    <t>Tăng (+), giảm (-) so với NQ 16/NQ-HĐND và QĐ số 07/QĐ-UBND ngày 01/8/2025</t>
  </si>
  <si>
    <t>Hoạt động tổ chức tết Trung thu trên địa bàn xã Sơn Hà (Phòng Văn hóa - xã hội)</t>
  </si>
  <si>
    <t>(Kèm theo Nghị quyết số     /NQ-HĐND ngày     tháng 10 năm 2025 của HĐND  xã Sơn Hà)</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</si>
</sst>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_(* \(#,##0.00\);_(* &quot;-&quot;??_);_(@_)"/>
    <numFmt numFmtId="165" formatCode="#,##0.000"/>
    <numFmt numFmtId="166" formatCode="#,##0.000000"/>
    <numFmt numFmtId="167" formatCode="_(* #,##0.000000_);_(* \(#,##0.000000\);_(* &quot;-&quot;??_);_(@_)"/>
    <numFmt numFmtId="168" formatCode="_(* #,##0_);_(* \(#,##0\);_(* &quot;-&quot;??_);_(@_)"/>
    <numFmt numFmtId="169" formatCode="_(* #,##0.00000000_);_(* \(#,##0.00000000\);_(* &quot;-&quot;??_);_(@_)"/>
    <numFmt numFmtId="170" formatCode="0.000"/>
    <numFmt numFmtId="171" formatCode="0.0000000"/>
    <numFmt numFmtId="172" formatCode="_-* #,##0.000\ _₫_-;\-* #,##0.000\ _₫_-;_-* &quot;-&quot;???\ _₫_-;_-@_-"/>
    <numFmt numFmtId="173" formatCode="#,##0.0"/>
    <numFmt numFmtId="174" formatCode="0.0"/>
  </numFmts>
  <fonts count="57">
    <font>
      <sz val="11"/>
      <color theme="1"/>
      <name val="Calibri"/>
      <family val="2"/>
      <scheme val="minor"/>
    </font>
    <font>
      <sz val="12"/>
      <name val="Times New Roman"/>
      <family val="1"/>
    </font>
    <font>
      <b/>
      <sz val="14"/>
      <name val="Times New Roman"/>
      <family val="1"/>
    </font>
    <font>
      <sz val="14"/>
      <name val="Times New Roman"/>
      <family val="1"/>
    </font>
    <font>
      <i/>
      <sz val="14"/>
      <name val="Times New Roman"/>
      <family val="1"/>
    </font>
    <font>
      <sz val="10"/>
      <name val="Times New Roman"/>
      <family val="1"/>
    </font>
    <font>
      <b/>
      <sz val="13"/>
      <name val="Times New Roman"/>
      <family val="1"/>
    </font>
    <font>
      <b/>
      <sz val="12"/>
      <name val="Times New Roman"/>
      <family val="1"/>
    </font>
    <font>
      <sz val="11"/>
      <name val="Times New Roman"/>
      <family val="1"/>
    </font>
    <font>
      <sz val="13"/>
      <name val="Times New Roman"/>
      <family val="1"/>
    </font>
    <font>
      <sz val="11"/>
      <color theme="1"/>
      <name val="Calibri"/>
      <family val="2"/>
      <charset val="163"/>
      <scheme val="minor"/>
    </font>
    <font>
      <sz val="14"/>
      <name val="Times New Roman"/>
      <family val="1"/>
      <charset val="163"/>
    </font>
    <font>
      <sz val="12"/>
      <name val="Times New Roman"/>
      <family val="1"/>
      <charset val="163"/>
    </font>
    <font>
      <i/>
      <sz val="13"/>
      <name val="Times New Roman"/>
      <family val="1"/>
    </font>
    <font>
      <b/>
      <i/>
      <sz val="13"/>
      <name val="Times New Roman"/>
      <family val="1"/>
    </font>
    <font>
      <b/>
      <i/>
      <sz val="14"/>
      <name val="Times New Roman"/>
      <family val="1"/>
    </font>
    <font>
      <b/>
      <i/>
      <sz val="12"/>
      <name val="Times New Roman"/>
      <family val="1"/>
    </font>
    <font>
      <b/>
      <sz val="14"/>
      <name val="Times New Roman"/>
      <family val="1"/>
      <charset val="163"/>
    </font>
    <font>
      <i/>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Times New Roman"/>
      <family val="1"/>
    </font>
    <font>
      <i/>
      <sz val="11"/>
      <color theme="1"/>
      <name val="Times New Roman"/>
      <family val="1"/>
    </font>
    <font>
      <b/>
      <sz val="11"/>
      <color theme="1"/>
      <name val="Times New Roman"/>
      <family val="1"/>
    </font>
    <font>
      <sz val="8"/>
      <name val="Times New Roman"/>
      <family val="1"/>
    </font>
    <font>
      <sz val="8"/>
      <color theme="1"/>
      <name val="Times New Roman"/>
      <family val="1"/>
    </font>
    <font>
      <i/>
      <sz val="8"/>
      <name val="Times New Roman"/>
      <family val="1"/>
    </font>
    <font>
      <sz val="9"/>
      <name val="Times New Roman"/>
      <family val="1"/>
    </font>
    <font>
      <b/>
      <i/>
      <sz val="11"/>
      <name val="Times New Roman"/>
      <family val="1"/>
    </font>
    <font>
      <b/>
      <sz val="11"/>
      <name val="Times New Roman"/>
      <family val="1"/>
    </font>
    <font>
      <b/>
      <i/>
      <sz val="11"/>
      <color theme="1"/>
      <name val="Calibri"/>
      <family val="2"/>
      <scheme val="minor"/>
    </font>
    <font>
      <i/>
      <sz val="11"/>
      <name val="Times New Roman"/>
      <family val="1"/>
    </font>
    <font>
      <sz val="12"/>
      <color theme="1"/>
      <name val="Times New Roman"/>
      <family val="1"/>
    </font>
    <font>
      <b/>
      <sz val="12"/>
      <color theme="1"/>
      <name val="Times New Roman"/>
      <family val="1"/>
    </font>
    <font>
      <sz val="12"/>
      <name val=".VnArial Narrow"/>
      <family val="2"/>
    </font>
    <font>
      <b/>
      <sz val="8"/>
      <name val="Times New Roman"/>
      <family val="1"/>
    </font>
    <font>
      <b/>
      <sz val="10"/>
      <name val="Times New Roman"/>
      <family val="1"/>
    </font>
    <font>
      <i/>
      <sz val="10"/>
      <color indexed="8"/>
      <name val="Times New Roman"/>
      <family val="1"/>
    </font>
    <font>
      <b/>
      <sz val="10"/>
      <color indexed="12"/>
      <name val="Times New Roman"/>
      <family val="1"/>
    </font>
    <font>
      <b/>
      <sz val="10"/>
      <color indexed="8"/>
      <name val="Times New Roman"/>
      <family val="1"/>
    </font>
    <font>
      <sz val="11"/>
      <color rgb="FFFF0000"/>
      <name val="Times New Roman"/>
      <family val="1"/>
    </font>
    <font>
      <b/>
      <i/>
      <sz val="11"/>
      <color theme="1"/>
      <name val="Times New Roman"/>
      <family val="1"/>
      <charset val="163"/>
    </font>
    <font>
      <b/>
      <i/>
      <sz val="11"/>
      <color theme="1"/>
      <name val="Times New Roman"/>
      <family val="1"/>
    </font>
    <font>
      <b/>
      <sz val="11"/>
      <color theme="1"/>
      <name val="Calibri"/>
      <family val="2"/>
      <charset val="163"/>
      <scheme val="minor"/>
    </font>
    <font>
      <i/>
      <sz val="11"/>
      <color theme="1"/>
      <name val="Times New Roman"/>
      <family val="1"/>
      <charset val="163"/>
    </font>
    <font>
      <i/>
      <sz val="11"/>
      <name val="Times New Roman"/>
      <family val="1"/>
      <charset val="163"/>
    </font>
    <font>
      <sz val="11"/>
      <name val="Calibri"/>
      <family val="2"/>
      <charset val="163"/>
      <scheme val="minor"/>
    </font>
    <font>
      <sz val="11"/>
      <color rgb="FFFF0000"/>
      <name val="Calibri"/>
      <family val="2"/>
      <charset val="163"/>
      <scheme val="minor"/>
    </font>
    <font>
      <b/>
      <i/>
      <sz val="11"/>
      <name val="Times New Roman"/>
      <family val="1"/>
      <charset val="163"/>
    </font>
    <font>
      <b/>
      <sz val="11"/>
      <name val="Calibri"/>
      <family val="2"/>
      <charset val="163"/>
      <scheme val="minor"/>
    </font>
    <font>
      <sz val="11"/>
      <color indexed="8"/>
      <name val="Times New Roman"/>
      <family val="1"/>
    </font>
    <font>
      <b/>
      <sz val="9"/>
      <color indexed="81"/>
      <name val="Tahoma"/>
      <family val="2"/>
      <charset val="163"/>
    </font>
    <font>
      <sz val="9"/>
      <color indexed="81"/>
      <name val="Tahoma"/>
      <family val="2"/>
      <charset val="163"/>
    </font>
    <font>
      <i/>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2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top style="double">
        <color indexed="64"/>
      </top>
      <bottom/>
      <diagonal/>
    </border>
    <border>
      <left style="double">
        <color indexed="64"/>
      </left>
      <right style="thin">
        <color indexed="64"/>
      </right>
      <top style="thin">
        <color indexed="64"/>
      </top>
      <bottom/>
      <diagonal/>
    </border>
  </borders>
  <cellStyleXfs count="11">
    <xf numFmtId="0" fontId="0" fillId="0" borderId="0"/>
    <xf numFmtId="0" fontId="1" fillId="0" borderId="0"/>
    <xf numFmtId="0" fontId="5" fillId="0" borderId="0"/>
    <xf numFmtId="0" fontId="10" fillId="0" borderId="0"/>
    <xf numFmtId="0" fontId="12" fillId="0" borderId="0"/>
    <xf numFmtId="164" fontId="19" fillId="0" borderId="0" applyFont="0" applyFill="0" applyBorder="0" applyAlignment="0" applyProtection="0"/>
    <xf numFmtId="0" fontId="5" fillId="0" borderId="0"/>
    <xf numFmtId="0" fontId="12" fillId="0" borderId="0">
      <protection locked="0"/>
    </xf>
    <xf numFmtId="0" fontId="37" fillId="0" borderId="0">
      <protection locked="0"/>
    </xf>
    <xf numFmtId="164" fontId="19" fillId="0" borderId="0" applyFont="0" applyFill="0" applyBorder="0" applyAlignment="0" applyProtection="0"/>
    <xf numFmtId="0" fontId="37" fillId="0" borderId="0"/>
  </cellStyleXfs>
  <cellXfs count="465">
    <xf numFmtId="0" fontId="0" fillId="0" borderId="0" xfId="0"/>
    <xf numFmtId="0" fontId="3" fillId="2" borderId="0" xfId="1" applyFont="1" applyFill="1"/>
    <xf numFmtId="0" fontId="2" fillId="2" borderId="0" xfId="1" applyFont="1" applyFill="1"/>
    <xf numFmtId="0" fontId="4" fillId="2" borderId="0" xfId="1" applyFont="1" applyFill="1" applyBorder="1" applyAlignment="1">
      <alignment horizontal="right"/>
    </xf>
    <xf numFmtId="0" fontId="4" fillId="2" borderId="0" xfId="1" applyFont="1" applyFill="1" applyBorder="1" applyAlignment="1"/>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7" fillId="2" borderId="3" xfId="1" applyFont="1" applyFill="1" applyBorder="1" applyAlignment="1">
      <alignment horizontal="center" vertical="center" wrapText="1"/>
    </xf>
    <xf numFmtId="0" fontId="5" fillId="2" borderId="0" xfId="1" applyFont="1" applyFill="1" applyAlignment="1">
      <alignment vertical="center"/>
    </xf>
    <xf numFmtId="0" fontId="3" fillId="2" borderId="0" xfId="1" applyFont="1" applyFill="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left" vertical="center" wrapText="1"/>
    </xf>
    <xf numFmtId="4" fontId="2" fillId="2" borderId="6" xfId="1" applyNumberFormat="1" applyFont="1" applyFill="1" applyBorder="1" applyAlignment="1">
      <alignment horizontal="right"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left" vertical="center" wrapText="1"/>
    </xf>
    <xf numFmtId="165" fontId="6" fillId="2" borderId="6" xfId="1" applyNumberFormat="1" applyFont="1" applyFill="1" applyBorder="1" applyAlignment="1">
      <alignment vertical="center"/>
    </xf>
    <xf numFmtId="165" fontId="8" fillId="2" borderId="0" xfId="1" applyNumberFormat="1" applyFont="1" applyFill="1" applyAlignment="1">
      <alignment vertical="center"/>
    </xf>
    <xf numFmtId="165" fontId="9" fillId="2" borderId="0" xfId="1" applyNumberFormat="1" applyFont="1" applyFill="1" applyAlignment="1">
      <alignment vertical="center"/>
    </xf>
    <xf numFmtId="0" fontId="8" fillId="2" borderId="0" xfId="1" applyFont="1" applyFill="1" applyAlignment="1">
      <alignment vertical="center"/>
    </xf>
    <xf numFmtId="0" fontId="6" fillId="2" borderId="4" xfId="2" quotePrefix="1" applyFont="1" applyFill="1" applyBorder="1" applyAlignment="1">
      <alignment horizontal="center" vertical="center" shrinkToFit="1"/>
    </xf>
    <xf numFmtId="0" fontId="6" fillId="2" borderId="5" xfId="2" quotePrefix="1" applyNumberFormat="1" applyFont="1" applyFill="1" applyBorder="1" applyAlignment="1">
      <alignment horizontal="left" vertical="center" wrapText="1"/>
    </xf>
    <xf numFmtId="165" fontId="6" fillId="2" borderId="6" xfId="2" applyNumberFormat="1" applyFont="1" applyFill="1" applyBorder="1" applyAlignment="1">
      <alignment horizontal="right" vertical="center" shrinkToFit="1"/>
    </xf>
    <xf numFmtId="165" fontId="6" fillId="2" borderId="0" xfId="2" applyNumberFormat="1" applyFont="1" applyFill="1" applyAlignment="1">
      <alignment vertical="center" wrapText="1"/>
    </xf>
    <xf numFmtId="0" fontId="6" fillId="2" borderId="0" xfId="2" applyFont="1" applyFill="1" applyAlignment="1">
      <alignment vertical="center" wrapText="1"/>
    </xf>
    <xf numFmtId="165" fontId="9" fillId="2" borderId="6" xfId="2" applyNumberFormat="1" applyFont="1" applyFill="1" applyBorder="1" applyAlignment="1">
      <alignment horizontal="right" vertical="center" shrinkToFit="1"/>
    </xf>
    <xf numFmtId="165" fontId="9" fillId="2" borderId="0" xfId="2" applyNumberFormat="1" applyFont="1" applyFill="1" applyAlignment="1">
      <alignment vertical="center" wrapText="1"/>
    </xf>
    <xf numFmtId="0" fontId="9" fillId="2" borderId="0" xfId="2" applyFont="1" applyFill="1" applyAlignment="1">
      <alignment vertical="center" wrapText="1"/>
    </xf>
    <xf numFmtId="0" fontId="3" fillId="2" borderId="4" xfId="3" quotePrefix="1" applyFont="1" applyFill="1" applyBorder="1" applyAlignment="1">
      <alignment horizontal="center" vertical="center"/>
    </xf>
    <xf numFmtId="0" fontId="3" fillId="2" borderId="5" xfId="3" applyNumberFormat="1" applyFont="1" applyFill="1" applyBorder="1" applyAlignment="1">
      <alignment horizontal="left" vertical="center" wrapText="1"/>
    </xf>
    <xf numFmtId="0" fontId="7" fillId="2" borderId="4" xfId="2" quotePrefix="1" applyFont="1" applyFill="1" applyBorder="1" applyAlignment="1">
      <alignment horizontal="center" vertical="center" shrinkToFit="1"/>
    </xf>
    <xf numFmtId="0" fontId="7" fillId="2" borderId="5" xfId="2" applyNumberFormat="1" applyFont="1" applyFill="1" applyBorder="1" applyAlignment="1">
      <alignment horizontal="left" vertical="center" wrapText="1"/>
    </xf>
    <xf numFmtId="165" fontId="7" fillId="2" borderId="6" xfId="2" applyNumberFormat="1" applyFont="1" applyFill="1" applyBorder="1" applyAlignment="1">
      <alignment horizontal="right" vertical="center" shrinkToFit="1"/>
    </xf>
    <xf numFmtId="0" fontId="7" fillId="2" borderId="0" xfId="1" applyFont="1" applyFill="1" applyAlignment="1">
      <alignment vertical="center"/>
    </xf>
    <xf numFmtId="165" fontId="1" fillId="2" borderId="6" xfId="2" applyNumberFormat="1" applyFont="1" applyFill="1" applyBorder="1" applyAlignment="1">
      <alignment horizontal="right" vertical="center" shrinkToFit="1"/>
    </xf>
    <xf numFmtId="0" fontId="1" fillId="2" borderId="0" xfId="1" applyFont="1" applyFill="1" applyAlignment="1">
      <alignment vertical="center"/>
    </xf>
    <xf numFmtId="0" fontId="7" fillId="2" borderId="4" xfId="1" applyFont="1" applyFill="1" applyBorder="1" applyAlignment="1">
      <alignment horizontal="center" vertical="center"/>
    </xf>
    <xf numFmtId="0" fontId="2" fillId="2" borderId="5" xfId="3" applyNumberFormat="1" applyFont="1" applyFill="1" applyBorder="1" applyAlignment="1">
      <alignment horizontal="left" vertical="center" wrapText="1"/>
    </xf>
    <xf numFmtId="0" fontId="15" fillId="2" borderId="4" xfId="3" quotePrefix="1" applyFont="1" applyFill="1" applyBorder="1" applyAlignment="1">
      <alignment horizontal="center" vertical="center"/>
    </xf>
    <xf numFmtId="0" fontId="15" fillId="2" borderId="5" xfId="3" quotePrefix="1" applyNumberFormat="1" applyFont="1" applyFill="1" applyBorder="1" applyAlignment="1">
      <alignment horizontal="left" vertical="center" wrapText="1"/>
    </xf>
    <xf numFmtId="165" fontId="16" fillId="2" borderId="6" xfId="2" applyNumberFormat="1" applyFont="1" applyFill="1" applyBorder="1" applyAlignment="1">
      <alignment horizontal="right" vertical="center" shrinkToFit="1"/>
    </xf>
    <xf numFmtId="0" fontId="16" fillId="2" borderId="0" xfId="1" applyFont="1" applyFill="1" applyAlignment="1">
      <alignment vertical="center"/>
    </xf>
    <xf numFmtId="0" fontId="3" fillId="2" borderId="5" xfId="3" quotePrefix="1" applyNumberFormat="1" applyFont="1" applyFill="1" applyBorder="1" applyAlignment="1">
      <alignment horizontal="left" vertical="center" wrapText="1"/>
    </xf>
    <xf numFmtId="0" fontId="17" fillId="2" borderId="4" xfId="3" quotePrefix="1" applyFont="1" applyFill="1" applyBorder="1" applyAlignment="1">
      <alignment horizontal="center" vertical="center"/>
    </xf>
    <xf numFmtId="0" fontId="17" fillId="2" borderId="5" xfId="3" applyNumberFormat="1" applyFont="1" applyFill="1" applyBorder="1" applyAlignment="1">
      <alignment horizontal="left" vertical="center" wrapText="1"/>
    </xf>
    <xf numFmtId="0" fontId="2" fillId="2" borderId="4" xfId="3" quotePrefix="1" applyFont="1" applyFill="1" applyBorder="1" applyAlignment="1">
      <alignment horizontal="center" vertical="center"/>
    </xf>
    <xf numFmtId="0" fontId="3" fillId="2" borderId="5" xfId="3" applyFont="1" applyFill="1" applyBorder="1" applyAlignment="1">
      <alignment wrapText="1"/>
    </xf>
    <xf numFmtId="0" fontId="15" fillId="2" borderId="5" xfId="3" applyNumberFormat="1" applyFont="1" applyFill="1" applyBorder="1" applyAlignment="1">
      <alignment horizontal="left" vertical="center" wrapText="1"/>
    </xf>
    <xf numFmtId="0" fontId="3" fillId="2" borderId="7" xfId="3" quotePrefix="1" applyFont="1" applyFill="1" applyBorder="1" applyAlignment="1">
      <alignment horizontal="center" vertical="center"/>
    </xf>
    <xf numFmtId="0" fontId="3" fillId="2" borderId="8" xfId="3" applyNumberFormat="1" applyFont="1" applyFill="1" applyBorder="1" applyAlignment="1">
      <alignment horizontal="left" vertical="center" wrapText="1"/>
    </xf>
    <xf numFmtId="165" fontId="1" fillId="2" borderId="9" xfId="2" applyNumberFormat="1" applyFont="1" applyFill="1" applyBorder="1" applyAlignment="1">
      <alignment horizontal="right" vertical="center" shrinkToFit="1"/>
    </xf>
    <xf numFmtId="0" fontId="17" fillId="2" borderId="0" xfId="3" quotePrefix="1" applyFont="1" applyFill="1" applyBorder="1" applyAlignment="1">
      <alignment horizontal="center" vertical="center"/>
    </xf>
    <xf numFmtId="0" fontId="11" fillId="2" borderId="0" xfId="3" applyNumberFormat="1" applyFont="1" applyFill="1" applyBorder="1" applyAlignment="1">
      <alignment horizontal="left" vertical="center" wrapText="1"/>
    </xf>
    <xf numFmtId="165" fontId="1" fillId="2" borderId="0" xfId="2" applyNumberFormat="1" applyFont="1" applyFill="1" applyBorder="1" applyAlignment="1">
      <alignment horizontal="right" vertical="center" shrinkToFit="1"/>
    </xf>
    <xf numFmtId="0" fontId="18" fillId="2" borderId="0" xfId="0" applyFont="1" applyFill="1" applyAlignment="1">
      <alignment vertical="center" wrapText="1"/>
    </xf>
    <xf numFmtId="0" fontId="3" fillId="3" borderId="4" xfId="3" quotePrefix="1" applyFont="1" applyFill="1" applyBorder="1" applyAlignment="1">
      <alignment horizontal="center" vertical="center"/>
    </xf>
    <xf numFmtId="0" fontId="3" fillId="3" borderId="5" xfId="3" applyNumberFormat="1" applyFont="1" applyFill="1" applyBorder="1" applyAlignment="1">
      <alignment horizontal="left" vertical="center" wrapText="1"/>
    </xf>
    <xf numFmtId="167" fontId="4" fillId="2" borderId="0" xfId="5" applyNumberFormat="1" applyFont="1" applyFill="1" applyBorder="1" applyAlignment="1"/>
    <xf numFmtId="167" fontId="6" fillId="2" borderId="2" xfId="5" applyNumberFormat="1" applyFont="1" applyFill="1" applyBorder="1" applyAlignment="1">
      <alignment horizontal="center" vertical="center" wrapText="1"/>
    </xf>
    <xf numFmtId="167" fontId="6" fillId="2" borderId="5" xfId="5" applyNumberFormat="1" applyFont="1" applyFill="1" applyBorder="1" applyAlignment="1">
      <alignment horizontal="right" vertical="center" shrinkToFit="1"/>
    </xf>
    <xf numFmtId="167" fontId="9" fillId="2" borderId="5" xfId="5" applyNumberFormat="1" applyFont="1" applyFill="1" applyBorder="1" applyAlignment="1">
      <alignment horizontal="right" vertical="center" shrinkToFit="1"/>
    </xf>
    <xf numFmtId="167" fontId="7" fillId="2" borderId="5" xfId="5" applyNumberFormat="1" applyFont="1" applyFill="1" applyBorder="1" applyAlignment="1">
      <alignment horizontal="right" vertical="center" shrinkToFit="1"/>
    </xf>
    <xf numFmtId="167" fontId="1" fillId="2" borderId="5" xfId="5" applyNumberFormat="1" applyFont="1" applyFill="1" applyBorder="1" applyAlignment="1">
      <alignment horizontal="right" vertical="center" shrinkToFit="1"/>
    </xf>
    <xf numFmtId="167" fontId="16" fillId="2" borderId="5" xfId="5" applyNumberFormat="1" applyFont="1" applyFill="1" applyBorder="1" applyAlignment="1">
      <alignment horizontal="right" vertical="center" shrinkToFit="1"/>
    </xf>
    <xf numFmtId="167" fontId="1" fillId="2" borderId="8" xfId="5" applyNumberFormat="1" applyFont="1" applyFill="1" applyBorder="1" applyAlignment="1">
      <alignment horizontal="right" vertical="center" shrinkToFit="1"/>
    </xf>
    <xf numFmtId="167" fontId="1" fillId="2" borderId="0" xfId="5" applyNumberFormat="1" applyFont="1" applyFill="1" applyBorder="1" applyAlignment="1">
      <alignment horizontal="right" vertical="center" shrinkToFit="1"/>
    </xf>
    <xf numFmtId="167" fontId="18" fillId="2" borderId="0" xfId="5" applyNumberFormat="1" applyFont="1" applyFill="1" applyAlignment="1">
      <alignment vertical="center" wrapText="1"/>
    </xf>
    <xf numFmtId="167" fontId="3" fillId="2" borderId="0" xfId="5" applyNumberFormat="1" applyFont="1" applyFill="1"/>
    <xf numFmtId="167" fontId="2" fillId="2" borderId="5" xfId="5" applyNumberFormat="1" applyFont="1" applyFill="1" applyBorder="1" applyAlignment="1">
      <alignment horizontal="right" vertical="center" shrinkToFit="1"/>
    </xf>
    <xf numFmtId="167" fontId="6" fillId="2" borderId="5" xfId="5" applyNumberFormat="1" applyFont="1" applyFill="1" applyBorder="1" applyAlignment="1">
      <alignment vertical="center" shrinkToFit="1"/>
    </xf>
    <xf numFmtId="167" fontId="1" fillId="3" borderId="5" xfId="5" applyNumberFormat="1" applyFont="1" applyFill="1" applyBorder="1" applyAlignment="1">
      <alignment horizontal="right" vertical="center" shrinkToFit="1"/>
    </xf>
    <xf numFmtId="165" fontId="1" fillId="3" borderId="6" xfId="2" applyNumberFormat="1" applyFont="1" applyFill="1" applyBorder="1" applyAlignment="1">
      <alignment horizontal="right" vertical="center" shrinkToFit="1"/>
    </xf>
    <xf numFmtId="0" fontId="1" fillId="3" borderId="0" xfId="1" applyFont="1" applyFill="1" applyAlignment="1">
      <alignment vertical="center"/>
    </xf>
    <xf numFmtId="0" fontId="2" fillId="2" borderId="5" xfId="0" applyFont="1" applyFill="1" applyBorder="1" applyAlignment="1">
      <alignment horizontal="left" vertical="center" wrapText="1"/>
    </xf>
    <xf numFmtId="165" fontId="6" fillId="2" borderId="0" xfId="1" applyNumberFormat="1" applyFont="1" applyFill="1" applyAlignment="1">
      <alignment vertical="center"/>
    </xf>
    <xf numFmtId="168" fontId="0" fillId="0" borderId="0" xfId="5" applyNumberFormat="1" applyFont="1"/>
    <xf numFmtId="168" fontId="20" fillId="0" borderId="0" xfId="5" applyNumberFormat="1" applyFont="1"/>
    <xf numFmtId="167" fontId="0" fillId="0" borderId="0" xfId="5" applyNumberFormat="1" applyFont="1"/>
    <xf numFmtId="168" fontId="0" fillId="3" borderId="0" xfId="5" applyNumberFormat="1" applyFont="1" applyFill="1"/>
    <xf numFmtId="4" fontId="2" fillId="2" borderId="5" xfId="1" applyNumberFormat="1" applyFont="1" applyFill="1" applyBorder="1" applyAlignment="1">
      <alignment horizontal="right" vertical="center" wrapText="1"/>
    </xf>
    <xf numFmtId="0" fontId="11" fillId="2" borderId="4" xfId="3" quotePrefix="1" applyFont="1" applyFill="1" applyBorder="1" applyAlignment="1">
      <alignment horizontal="center" vertical="center"/>
    </xf>
    <xf numFmtId="0" fontId="11" fillId="2" borderId="5" xfId="0" applyFont="1" applyFill="1" applyBorder="1" applyAlignment="1">
      <alignment wrapText="1"/>
    </xf>
    <xf numFmtId="0" fontId="11" fillId="2" borderId="5" xfId="3" applyNumberFormat="1" applyFont="1" applyFill="1" applyBorder="1" applyAlignment="1">
      <alignment horizontal="left" vertical="center" wrapText="1"/>
    </xf>
    <xf numFmtId="0" fontId="11" fillId="2" borderId="4" xfId="4" quotePrefix="1" applyFont="1" applyFill="1" applyBorder="1" applyAlignment="1">
      <alignment horizontal="center" vertical="center" wrapText="1"/>
    </xf>
    <xf numFmtId="0" fontId="11" fillId="2" borderId="5" xfId="4" applyFont="1" applyFill="1" applyBorder="1" applyAlignment="1">
      <alignment vertical="center" wrapText="1"/>
    </xf>
    <xf numFmtId="0" fontId="4" fillId="2" borderId="4" xfId="3" quotePrefix="1" applyFont="1" applyFill="1" applyBorder="1" applyAlignment="1">
      <alignment horizontal="center" vertical="center"/>
    </xf>
    <xf numFmtId="0" fontId="4" fillId="2" borderId="5" xfId="0" applyFont="1" applyFill="1" applyBorder="1" applyAlignment="1">
      <alignment horizontal="left" vertical="center" wrapText="1"/>
    </xf>
    <xf numFmtId="167" fontId="13" fillId="2" borderId="5" xfId="5" applyNumberFormat="1" applyFont="1" applyFill="1" applyBorder="1" applyAlignment="1">
      <alignment horizontal="right" vertical="center" shrinkToFit="1"/>
    </xf>
    <xf numFmtId="165" fontId="13" fillId="2" borderId="6" xfId="2" applyNumberFormat="1" applyFont="1" applyFill="1" applyBorder="1" applyAlignment="1">
      <alignment horizontal="right" vertical="center" shrinkToFit="1"/>
    </xf>
    <xf numFmtId="0" fontId="13" fillId="2" borderId="0" xfId="2" applyFont="1" applyFill="1" applyAlignment="1">
      <alignment vertical="center" wrapText="1"/>
    </xf>
    <xf numFmtId="0" fontId="4" fillId="2" borderId="5" xfId="3" applyNumberFormat="1" applyFont="1" applyFill="1" applyBorder="1" applyAlignment="1">
      <alignment horizontal="left" vertical="center" wrapText="1"/>
    </xf>
    <xf numFmtId="0" fontId="3" fillId="2" borderId="5" xfId="0" applyFont="1" applyFill="1" applyBorder="1" applyAlignment="1">
      <alignment horizontal="left" vertical="center" wrapText="1"/>
    </xf>
    <xf numFmtId="0" fontId="6" fillId="2" borderId="4" xfId="1" applyFont="1" applyFill="1" applyBorder="1" applyAlignment="1">
      <alignment horizontal="center" vertical="center"/>
    </xf>
    <xf numFmtId="0" fontId="6" fillId="2" borderId="5" xfId="2" applyNumberFormat="1" applyFont="1" applyFill="1" applyBorder="1" applyAlignment="1">
      <alignment horizontal="left" vertical="center" wrapText="1"/>
    </xf>
    <xf numFmtId="0" fontId="6" fillId="2" borderId="0" xfId="1" applyFont="1" applyFill="1" applyAlignment="1">
      <alignment vertical="center"/>
    </xf>
    <xf numFmtId="0" fontId="9" fillId="2" borderId="4" xfId="1" applyFont="1" applyFill="1" applyBorder="1" applyAlignment="1">
      <alignment horizontal="center" vertical="center"/>
    </xf>
    <xf numFmtId="0" fontId="9" fillId="2" borderId="0" xfId="1" applyFont="1" applyFill="1" applyAlignment="1">
      <alignment vertical="center"/>
    </xf>
    <xf numFmtId="3" fontId="9" fillId="2" borderId="0" xfId="1" applyNumberFormat="1" applyFont="1" applyFill="1" applyAlignment="1">
      <alignment vertical="center"/>
    </xf>
    <xf numFmtId="0" fontId="9" fillId="2" borderId="4" xfId="2" quotePrefix="1" applyFont="1" applyFill="1" applyBorder="1" applyAlignment="1">
      <alignment horizontal="center" vertical="center" shrinkToFit="1"/>
    </xf>
    <xf numFmtId="0" fontId="1" fillId="2" borderId="4" xfId="2" quotePrefix="1" applyFont="1" applyFill="1" applyBorder="1" applyAlignment="1">
      <alignment horizontal="center" vertical="center" shrinkToFit="1"/>
    </xf>
    <xf numFmtId="0" fontId="1" fillId="2" borderId="4" xfId="1" applyFont="1" applyFill="1" applyBorder="1" applyAlignment="1">
      <alignment horizontal="center" vertical="center"/>
    </xf>
    <xf numFmtId="0" fontId="17" fillId="3" borderId="4" xfId="3" quotePrefix="1" applyFont="1" applyFill="1" applyBorder="1" applyAlignment="1">
      <alignment horizontal="center" vertical="center"/>
    </xf>
    <xf numFmtId="0" fontId="17" fillId="3" borderId="5" xfId="3" applyNumberFormat="1" applyFont="1" applyFill="1" applyBorder="1" applyAlignment="1">
      <alignment horizontal="left" vertical="center" wrapText="1"/>
    </xf>
    <xf numFmtId="167" fontId="7" fillId="3" borderId="5" xfId="5" applyNumberFormat="1" applyFont="1" applyFill="1" applyBorder="1" applyAlignment="1">
      <alignment horizontal="right" vertical="center" shrinkToFit="1"/>
    </xf>
    <xf numFmtId="0" fontId="15" fillId="3" borderId="4" xfId="3" quotePrefix="1" applyFont="1" applyFill="1" applyBorder="1" applyAlignment="1">
      <alignment horizontal="center" vertical="center"/>
    </xf>
    <xf numFmtId="0" fontId="15" fillId="3" borderId="5" xfId="3" applyNumberFormat="1" applyFont="1" applyFill="1" applyBorder="1" applyAlignment="1">
      <alignment horizontal="left" vertical="center" wrapText="1"/>
    </xf>
    <xf numFmtId="167" fontId="16" fillId="3" borderId="5" xfId="5" applyNumberFormat="1" applyFont="1" applyFill="1" applyBorder="1" applyAlignment="1">
      <alignment horizontal="right" vertical="center" shrinkToFit="1"/>
    </xf>
    <xf numFmtId="0" fontId="16" fillId="3" borderId="0" xfId="1" applyFont="1" applyFill="1" applyAlignment="1">
      <alignment vertical="center"/>
    </xf>
    <xf numFmtId="168" fontId="0" fillId="4" borderId="0" xfId="5" applyNumberFormat="1" applyFont="1" applyFill="1"/>
    <xf numFmtId="168" fontId="0" fillId="2" borderId="0" xfId="5" applyNumberFormat="1" applyFont="1" applyFill="1"/>
    <xf numFmtId="168" fontId="0" fillId="0" borderId="0" xfId="0" applyNumberFormat="1"/>
    <xf numFmtId="169" fontId="3" fillId="2" borderId="0" xfId="5" applyNumberFormat="1" applyFont="1" applyFill="1"/>
    <xf numFmtId="169" fontId="3" fillId="2" borderId="0" xfId="1" applyNumberFormat="1" applyFont="1" applyFill="1"/>
    <xf numFmtId="169" fontId="5" fillId="2" borderId="0" xfId="5" applyNumberFormat="1" applyFont="1" applyFill="1" applyAlignment="1">
      <alignment vertical="center"/>
    </xf>
    <xf numFmtId="169" fontId="5" fillId="2" borderId="0" xfId="1" applyNumberFormat="1" applyFont="1" applyFill="1" applyAlignment="1">
      <alignment vertical="center"/>
    </xf>
    <xf numFmtId="169" fontId="3" fillId="2" borderId="0" xfId="5" applyNumberFormat="1" applyFont="1" applyFill="1" applyAlignment="1">
      <alignment vertical="center"/>
    </xf>
    <xf numFmtId="169" fontId="3" fillId="2" borderId="0" xfId="1" applyNumberFormat="1" applyFont="1" applyFill="1" applyAlignment="1">
      <alignment vertical="center"/>
    </xf>
    <xf numFmtId="169" fontId="8" fillId="2" borderId="0" xfId="5" applyNumberFormat="1" applyFont="1" applyFill="1" applyAlignment="1">
      <alignment vertical="center"/>
    </xf>
    <xf numFmtId="169" fontId="9" fillId="2" borderId="0" xfId="1" applyNumberFormat="1" applyFont="1" applyFill="1" applyAlignment="1">
      <alignment vertical="center"/>
    </xf>
    <xf numFmtId="169" fontId="6" fillId="2" borderId="0" xfId="5" applyNumberFormat="1" applyFont="1" applyFill="1" applyAlignment="1">
      <alignment vertical="center" wrapText="1"/>
    </xf>
    <xf numFmtId="169" fontId="9" fillId="2" borderId="0" xfId="5" applyNumberFormat="1" applyFont="1" applyFill="1" applyAlignment="1">
      <alignment vertical="center" wrapText="1"/>
    </xf>
    <xf numFmtId="169" fontId="13" fillId="2" borderId="0" xfId="5" applyNumberFormat="1" applyFont="1" applyFill="1" applyAlignment="1">
      <alignment vertical="center" wrapText="1"/>
    </xf>
    <xf numFmtId="169" fontId="13" fillId="2" borderId="0" xfId="1" applyNumberFormat="1" applyFont="1" applyFill="1" applyAlignment="1">
      <alignment vertical="center"/>
    </xf>
    <xf numFmtId="169" fontId="14" fillId="2" borderId="0" xfId="5" applyNumberFormat="1" applyFont="1" applyFill="1" applyAlignment="1">
      <alignment vertical="center" wrapText="1"/>
    </xf>
    <xf numFmtId="169" fontId="6" fillId="2" borderId="0" xfId="5" applyNumberFormat="1" applyFont="1" applyFill="1" applyAlignment="1">
      <alignment vertical="center"/>
    </xf>
    <xf numFmtId="169" fontId="6" fillId="2" borderId="0" xfId="1" applyNumberFormat="1" applyFont="1" applyFill="1" applyAlignment="1">
      <alignment vertical="center"/>
    </xf>
    <xf numFmtId="169" fontId="9" fillId="2" borderId="0" xfId="5" applyNumberFormat="1" applyFont="1" applyFill="1" applyAlignment="1">
      <alignment vertical="center"/>
    </xf>
    <xf numFmtId="169" fontId="7" fillId="2" borderId="0" xfId="5" applyNumberFormat="1" applyFont="1" applyFill="1" applyAlignment="1">
      <alignment vertical="center"/>
    </xf>
    <xf numFmtId="169" fontId="7" fillId="2" borderId="0" xfId="1" applyNumberFormat="1" applyFont="1" applyFill="1" applyAlignment="1">
      <alignment vertical="center"/>
    </xf>
    <xf numFmtId="169" fontId="1" fillId="2" borderId="0" xfId="5" applyNumberFormat="1" applyFont="1" applyFill="1" applyAlignment="1">
      <alignment vertical="center"/>
    </xf>
    <xf numFmtId="169" fontId="1" fillId="2" borderId="0" xfId="1" applyNumberFormat="1" applyFont="1" applyFill="1" applyAlignment="1">
      <alignment vertical="center"/>
    </xf>
    <xf numFmtId="169" fontId="16" fillId="2" borderId="0" xfId="5" applyNumberFormat="1" applyFont="1" applyFill="1" applyAlignment="1">
      <alignment vertical="center"/>
    </xf>
    <xf numFmtId="169" fontId="16" fillId="2" borderId="0" xfId="1" applyNumberFormat="1" applyFont="1" applyFill="1" applyAlignment="1">
      <alignment vertical="center"/>
    </xf>
    <xf numFmtId="169" fontId="1" fillId="3" borderId="0" xfId="5" applyNumberFormat="1" applyFont="1" applyFill="1" applyAlignment="1">
      <alignment vertical="center"/>
    </xf>
    <xf numFmtId="169" fontId="1" fillId="3" borderId="0" xfId="1" applyNumberFormat="1" applyFont="1" applyFill="1" applyAlignment="1">
      <alignment vertical="center"/>
    </xf>
    <xf numFmtId="169" fontId="1" fillId="3" borderId="5" xfId="5" applyNumberFormat="1" applyFont="1" applyFill="1" applyBorder="1" applyAlignment="1">
      <alignment horizontal="right" vertical="center" shrinkToFit="1"/>
    </xf>
    <xf numFmtId="0" fontId="21" fillId="3" borderId="0" xfId="0" applyFont="1" applyFill="1"/>
    <xf numFmtId="165" fontId="13" fillId="2" borderId="0" xfId="2" applyNumberFormat="1" applyFont="1" applyFill="1" applyAlignment="1">
      <alignment vertical="center" wrapText="1"/>
    </xf>
    <xf numFmtId="165" fontId="13" fillId="2" borderId="0" xfId="1" applyNumberFormat="1" applyFont="1" applyFill="1" applyAlignment="1">
      <alignment vertical="center"/>
    </xf>
    <xf numFmtId="165" fontId="14" fillId="2" borderId="0" xfId="2" applyNumberFormat="1" applyFont="1" applyFill="1" applyAlignment="1">
      <alignment vertical="center" wrapText="1"/>
    </xf>
    <xf numFmtId="169" fontId="1" fillId="2" borderId="5" xfId="5" applyNumberFormat="1" applyFont="1" applyFill="1" applyBorder="1" applyAlignment="1">
      <alignment horizontal="right" vertical="center" shrinkToFit="1"/>
    </xf>
    <xf numFmtId="0" fontId="3" fillId="2" borderId="5" xfId="0" applyFont="1" applyFill="1" applyBorder="1" applyAlignment="1">
      <alignment wrapText="1"/>
    </xf>
    <xf numFmtId="0" fontId="3" fillId="2" borderId="4" xfId="4" quotePrefix="1" applyFont="1" applyFill="1" applyBorder="1" applyAlignment="1">
      <alignment horizontal="center" vertical="center" wrapText="1"/>
    </xf>
    <xf numFmtId="0" fontId="3" fillId="2" borderId="5" xfId="4" applyFont="1" applyFill="1" applyBorder="1" applyAlignment="1">
      <alignment vertical="center" wrapText="1"/>
    </xf>
    <xf numFmtId="0" fontId="2" fillId="2" borderId="0" xfId="3" quotePrefix="1" applyFont="1" applyFill="1" applyBorder="1" applyAlignment="1">
      <alignment horizontal="center" vertical="center"/>
    </xf>
    <xf numFmtId="0" fontId="3" fillId="2" borderId="0" xfId="3" applyNumberFormat="1" applyFont="1" applyFill="1" applyBorder="1" applyAlignment="1">
      <alignment horizontal="left" vertical="center" wrapText="1"/>
    </xf>
    <xf numFmtId="165" fontId="6" fillId="2" borderId="5" xfId="1" applyNumberFormat="1" applyFont="1" applyFill="1" applyBorder="1" applyAlignment="1">
      <alignment vertical="center"/>
    </xf>
    <xf numFmtId="165" fontId="6" fillId="2" borderId="5" xfId="2" applyNumberFormat="1" applyFont="1" applyFill="1" applyBorder="1" applyAlignment="1">
      <alignment horizontal="right" vertical="center" shrinkToFit="1"/>
    </xf>
    <xf numFmtId="165" fontId="9" fillId="2" borderId="5" xfId="2" applyNumberFormat="1" applyFont="1" applyFill="1" applyBorder="1" applyAlignment="1">
      <alignment horizontal="right" vertical="center" shrinkToFit="1"/>
    </xf>
    <xf numFmtId="165" fontId="13" fillId="2" borderId="5" xfId="2" applyNumberFormat="1" applyFont="1" applyFill="1" applyBorder="1" applyAlignment="1">
      <alignment horizontal="right" vertical="center" shrinkToFit="1"/>
    </xf>
    <xf numFmtId="0" fontId="13" fillId="2" borderId="5" xfId="2" applyFont="1" applyFill="1" applyBorder="1" applyAlignment="1">
      <alignment vertical="center" wrapText="1"/>
    </xf>
    <xf numFmtId="166" fontId="1" fillId="2" borderId="5" xfId="2" applyNumberFormat="1" applyFont="1" applyFill="1" applyBorder="1" applyAlignment="1">
      <alignment horizontal="right" vertical="center" shrinkToFit="1"/>
    </xf>
    <xf numFmtId="165" fontId="1" fillId="2" borderId="5" xfId="2" applyNumberFormat="1" applyFont="1" applyFill="1" applyBorder="1" applyAlignment="1">
      <alignment horizontal="right" vertical="center" shrinkToFit="1"/>
    </xf>
    <xf numFmtId="165" fontId="7" fillId="2" borderId="5" xfId="2" applyNumberFormat="1" applyFont="1" applyFill="1" applyBorder="1" applyAlignment="1">
      <alignment horizontal="right" vertical="center" shrinkToFit="1"/>
    </xf>
    <xf numFmtId="165" fontId="16" fillId="2" borderId="5" xfId="2" applyNumberFormat="1" applyFont="1" applyFill="1" applyBorder="1" applyAlignment="1">
      <alignment horizontal="right" vertical="center" shrinkToFit="1"/>
    </xf>
    <xf numFmtId="169" fontId="1" fillId="2" borderId="5" xfId="5" applyNumberFormat="1" applyFont="1" applyFill="1" applyBorder="1" applyAlignment="1">
      <alignment vertical="center"/>
    </xf>
    <xf numFmtId="167" fontId="13" fillId="2" borderId="8" xfId="5" applyNumberFormat="1" applyFont="1" applyFill="1" applyBorder="1" applyAlignment="1">
      <alignment horizontal="right" vertical="center" shrinkToFit="1"/>
    </xf>
    <xf numFmtId="167" fontId="9" fillId="2" borderId="8" xfId="5" applyNumberFormat="1" applyFont="1" applyFill="1" applyBorder="1" applyAlignment="1">
      <alignment horizontal="right" vertical="center" shrinkToFit="1"/>
    </xf>
    <xf numFmtId="165" fontId="1" fillId="2" borderId="8" xfId="2" applyNumberFormat="1" applyFont="1" applyFill="1" applyBorder="1" applyAlignment="1">
      <alignment horizontal="right" vertical="center" shrinkToFit="1"/>
    </xf>
    <xf numFmtId="0" fontId="3" fillId="4" borderId="4" xfId="3" quotePrefix="1" applyFont="1" applyFill="1" applyBorder="1" applyAlignment="1">
      <alignment horizontal="center" vertical="center"/>
    </xf>
    <xf numFmtId="0" fontId="3" fillId="4" borderId="5" xfId="0" applyFont="1" applyFill="1" applyBorder="1" applyAlignment="1">
      <alignment wrapText="1"/>
    </xf>
    <xf numFmtId="167" fontId="9" fillId="4" borderId="5" xfId="5" applyNumberFormat="1" applyFont="1" applyFill="1" applyBorder="1" applyAlignment="1">
      <alignment horizontal="right" vertical="center" shrinkToFit="1"/>
    </xf>
    <xf numFmtId="165" fontId="9" fillId="4" borderId="5" xfId="2" applyNumberFormat="1" applyFont="1" applyFill="1" applyBorder="1" applyAlignment="1">
      <alignment horizontal="right" vertical="center" shrinkToFit="1"/>
    </xf>
    <xf numFmtId="165" fontId="9" fillId="4" borderId="6" xfId="2" applyNumberFormat="1" applyFont="1" applyFill="1" applyBorder="1" applyAlignment="1">
      <alignment horizontal="right" vertical="center" shrinkToFit="1"/>
    </xf>
    <xf numFmtId="165" fontId="9" fillId="4" borderId="0" xfId="2" applyNumberFormat="1" applyFont="1" applyFill="1" applyAlignment="1">
      <alignment vertical="center" wrapText="1"/>
    </xf>
    <xf numFmtId="165" fontId="9" fillId="4" borderId="0" xfId="1" applyNumberFormat="1" applyFont="1" applyFill="1" applyAlignment="1">
      <alignment vertical="center"/>
    </xf>
    <xf numFmtId="0" fontId="9" fillId="4" borderId="0" xfId="2" applyFont="1" applyFill="1" applyAlignment="1">
      <alignment vertical="center" wrapText="1"/>
    </xf>
    <xf numFmtId="0" fontId="4" fillId="4" borderId="4" xfId="3" quotePrefix="1" applyFont="1" applyFill="1" applyBorder="1" applyAlignment="1">
      <alignment horizontal="center" vertical="center"/>
    </xf>
    <xf numFmtId="0" fontId="4" fillId="4" borderId="5" xfId="0" applyFont="1" applyFill="1" applyBorder="1" applyAlignment="1">
      <alignment horizontal="left" vertical="center" wrapText="1"/>
    </xf>
    <xf numFmtId="167" fontId="13" fillId="4" borderId="5" xfId="5" applyNumberFormat="1" applyFont="1" applyFill="1" applyBorder="1" applyAlignment="1">
      <alignment horizontal="right" vertical="center" shrinkToFit="1"/>
    </xf>
    <xf numFmtId="165" fontId="13" fillId="4" borderId="5" xfId="2" applyNumberFormat="1" applyFont="1" applyFill="1" applyBorder="1" applyAlignment="1">
      <alignment horizontal="right" vertical="center" shrinkToFit="1"/>
    </xf>
    <xf numFmtId="165" fontId="13" fillId="4" borderId="6" xfId="2" applyNumberFormat="1" applyFont="1" applyFill="1" applyBorder="1" applyAlignment="1">
      <alignment horizontal="right" vertical="center" shrinkToFit="1"/>
    </xf>
    <xf numFmtId="165" fontId="13" fillId="4" borderId="0" xfId="2" applyNumberFormat="1" applyFont="1" applyFill="1" applyAlignment="1">
      <alignment vertical="center" wrapText="1"/>
    </xf>
    <xf numFmtId="165" fontId="13" fillId="4" borderId="0" xfId="1" applyNumberFormat="1" applyFont="1" applyFill="1" applyAlignment="1">
      <alignment vertical="center"/>
    </xf>
    <xf numFmtId="0" fontId="13" fillId="4" borderId="0" xfId="2" applyFont="1" applyFill="1" applyAlignment="1">
      <alignment vertical="center" wrapText="1"/>
    </xf>
    <xf numFmtId="0" fontId="13" fillId="4" borderId="5" xfId="2" applyFont="1" applyFill="1" applyBorder="1" applyAlignment="1">
      <alignment vertical="center" wrapText="1"/>
    </xf>
    <xf numFmtId="165" fontId="14" fillId="4" borderId="0" xfId="2" applyNumberFormat="1" applyFont="1" applyFill="1" applyAlignment="1">
      <alignment vertical="center" wrapText="1"/>
    </xf>
    <xf numFmtId="164" fontId="0" fillId="0" borderId="0" xfId="5" applyFont="1"/>
    <xf numFmtId="0" fontId="20" fillId="0" borderId="0" xfId="0" applyFont="1"/>
    <xf numFmtId="0" fontId="24" fillId="0" borderId="0" xfId="0" applyFont="1"/>
    <xf numFmtId="0" fontId="33" fillId="0" borderId="0" xfId="0" applyFont="1"/>
    <xf numFmtId="166" fontId="3" fillId="0" borderId="5" xfId="2" applyNumberFormat="1" applyFont="1" applyFill="1" applyBorder="1" applyAlignment="1">
      <alignment horizontal="right" vertical="center" shrinkToFit="1"/>
    </xf>
    <xf numFmtId="0" fontId="7" fillId="0" borderId="0" xfId="0" applyFont="1" applyAlignment="1">
      <alignment horizontal="center" wrapText="1"/>
    </xf>
    <xf numFmtId="0" fontId="0" fillId="0" borderId="0" xfId="0" applyAlignment="1">
      <alignment horizontal="center" vertical="center"/>
    </xf>
    <xf numFmtId="170" fontId="0" fillId="0" borderId="0" xfId="0" applyNumberFormat="1" applyAlignment="1">
      <alignment horizontal="center" vertical="center"/>
    </xf>
    <xf numFmtId="171" fontId="0" fillId="0" borderId="0" xfId="0" applyNumberFormat="1" applyAlignment="1">
      <alignment horizontal="center" vertical="center"/>
    </xf>
    <xf numFmtId="172" fontId="0" fillId="0" borderId="0" xfId="0" applyNumberFormat="1" applyAlignment="1">
      <alignment horizontal="center" vertical="center"/>
    </xf>
    <xf numFmtId="0" fontId="43" fillId="0" borderId="0" xfId="0" applyFont="1"/>
    <xf numFmtId="0" fontId="0" fillId="0" borderId="0" xfId="0" applyFont="1"/>
    <xf numFmtId="0" fontId="24" fillId="0" borderId="0" xfId="0" applyFont="1" applyAlignment="1">
      <alignment horizontal="left"/>
    </xf>
    <xf numFmtId="0" fontId="24" fillId="0" borderId="0" xfId="0" applyFont="1" applyAlignment="1">
      <alignment horizontal="left" vertical="center" indent="15"/>
    </xf>
    <xf numFmtId="0" fontId="0" fillId="0" borderId="0" xfId="0" applyFont="1" applyAlignment="1">
      <alignment vertical="center"/>
    </xf>
    <xf numFmtId="0" fontId="26" fillId="0" borderId="15"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0" xfId="0" applyFont="1" applyAlignment="1">
      <alignment vertical="center" wrapText="1"/>
    </xf>
    <xf numFmtId="0" fontId="25" fillId="0" borderId="5" xfId="0" applyFont="1" applyBorder="1" applyAlignment="1">
      <alignment horizontal="center" vertical="center"/>
    </xf>
    <xf numFmtId="0" fontId="45" fillId="0" borderId="5" xfId="0" applyFont="1" applyBorder="1" applyAlignment="1">
      <alignment horizontal="center" vertical="center"/>
    </xf>
    <xf numFmtId="0" fontId="31" fillId="0" borderId="5" xfId="0" applyFont="1" applyBorder="1" applyAlignment="1">
      <alignment horizontal="center" vertical="center"/>
    </xf>
    <xf numFmtId="0" fontId="34" fillId="0" borderId="11" xfId="0" applyFont="1" applyBorder="1" applyAlignment="1">
      <alignment horizontal="center" vertical="center"/>
    </xf>
    <xf numFmtId="0" fontId="25" fillId="0" borderId="5" xfId="0" applyFont="1" applyBorder="1" applyAlignment="1">
      <alignment horizontal="center"/>
    </xf>
    <xf numFmtId="164" fontId="0" fillId="0" borderId="0" xfId="0" applyNumberFormat="1" applyFont="1"/>
    <xf numFmtId="0" fontId="26" fillId="3" borderId="5" xfId="0" applyFont="1" applyFill="1" applyBorder="1" applyAlignment="1">
      <alignment horizontal="center" vertical="center"/>
    </xf>
    <xf numFmtId="0" fontId="26" fillId="3" borderId="5" xfId="0" applyFont="1" applyFill="1" applyBorder="1" applyAlignment="1">
      <alignment horizontal="left" vertical="center"/>
    </xf>
    <xf numFmtId="39" fontId="26" fillId="3" borderId="5" xfId="0" applyNumberFormat="1" applyFont="1" applyFill="1" applyBorder="1" applyAlignment="1">
      <alignment horizontal="center" vertical="center"/>
    </xf>
    <xf numFmtId="168" fontId="26" fillId="3" borderId="5" xfId="0" applyNumberFormat="1" applyFont="1" applyFill="1" applyBorder="1" applyAlignment="1">
      <alignment horizontal="center" vertical="center"/>
    </xf>
    <xf numFmtId="0" fontId="32" fillId="3" borderId="5" xfId="0" applyFont="1" applyFill="1" applyBorder="1" applyAlignment="1">
      <alignment horizontal="center" vertical="center"/>
    </xf>
    <xf numFmtId="0" fontId="26" fillId="3" borderId="5" xfId="0" applyFont="1" applyFill="1" applyBorder="1" applyAlignment="1">
      <alignment horizontal="center"/>
    </xf>
    <xf numFmtId="0" fontId="46" fillId="0" borderId="0" xfId="0" applyFont="1"/>
    <xf numFmtId="164" fontId="46" fillId="0" borderId="0" xfId="0" applyNumberFormat="1" applyFont="1"/>
    <xf numFmtId="0" fontId="24" fillId="0" borderId="5" xfId="0" applyFont="1" applyBorder="1" applyAlignment="1">
      <alignment horizontal="center" vertical="center"/>
    </xf>
    <xf numFmtId="49" fontId="24" fillId="0" borderId="5" xfId="0" applyNumberFormat="1" applyFont="1" applyBorder="1" applyAlignment="1">
      <alignment horizontal="lef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4" fontId="8" fillId="0" borderId="5" xfId="0" applyNumberFormat="1" applyFont="1" applyBorder="1" applyAlignment="1">
      <alignment horizontal="center" vertical="center"/>
    </xf>
    <xf numFmtId="0" fontId="8" fillId="0" borderId="5" xfId="0" applyFont="1" applyBorder="1" applyAlignment="1">
      <alignment vertical="center"/>
    </xf>
    <xf numFmtId="0" fontId="24" fillId="0" borderId="5" xfId="0" applyFont="1" applyBorder="1" applyAlignment="1">
      <alignment vertical="center"/>
    </xf>
    <xf numFmtId="168" fontId="24" fillId="0" borderId="5" xfId="5" applyNumberFormat="1" applyFont="1" applyBorder="1" applyAlignment="1">
      <alignment vertical="center"/>
    </xf>
    <xf numFmtId="168" fontId="47" fillId="0" borderId="5" xfId="5" applyNumberFormat="1" applyFont="1" applyBorder="1" applyAlignment="1">
      <alignment vertical="center"/>
    </xf>
    <xf numFmtId="168" fontId="48" fillId="0" borderId="5" xfId="5" applyNumberFormat="1" applyFont="1" applyBorder="1" applyAlignment="1">
      <alignment vertical="center"/>
    </xf>
    <xf numFmtId="168" fontId="24" fillId="0" borderId="5" xfId="5" applyNumberFormat="1" applyFont="1" applyBorder="1" applyAlignment="1">
      <alignment horizontal="center" vertical="center"/>
    </xf>
    <xf numFmtId="168" fontId="24" fillId="0" borderId="5" xfId="5" applyNumberFormat="1" applyFont="1" applyBorder="1" applyAlignment="1">
      <alignment horizontal="center"/>
    </xf>
    <xf numFmtId="173" fontId="0" fillId="0" borderId="0" xfId="0" applyNumberFormat="1" applyFont="1"/>
    <xf numFmtId="3" fontId="0" fillId="0" borderId="0" xfId="0" applyNumberFormat="1" applyFont="1"/>
    <xf numFmtId="3" fontId="49" fillId="3" borderId="0" xfId="0" applyNumberFormat="1" applyFont="1" applyFill="1"/>
    <xf numFmtId="49" fontId="8" fillId="0" borderId="5" xfId="0" applyNumberFormat="1" applyFont="1" applyBorder="1" applyAlignment="1">
      <alignment horizontal="center" vertical="center"/>
    </xf>
    <xf numFmtId="49" fontId="8" fillId="0" borderId="5" xfId="0" applyNumberFormat="1" applyFont="1" applyBorder="1" applyAlignment="1">
      <alignment horizontal="left" vertical="center"/>
    </xf>
    <xf numFmtId="170" fontId="8" fillId="0" borderId="5" xfId="0" applyNumberFormat="1" applyFont="1" applyBorder="1" applyAlignment="1">
      <alignment vertical="center"/>
    </xf>
    <xf numFmtId="168" fontId="8" fillId="0" borderId="5" xfId="5" applyNumberFormat="1" applyFont="1" applyBorder="1" applyAlignment="1">
      <alignment vertical="center"/>
    </xf>
    <xf numFmtId="168" fontId="8" fillId="0" borderId="5" xfId="5" applyNumberFormat="1" applyFont="1" applyBorder="1" applyAlignment="1">
      <alignment horizontal="center"/>
    </xf>
    <xf numFmtId="3" fontId="49" fillId="0" borderId="0" xfId="0" applyNumberFormat="1" applyFont="1"/>
    <xf numFmtId="0" fontId="49" fillId="0" borderId="0" xfId="0" applyFont="1"/>
    <xf numFmtId="49" fontId="43" fillId="0" borderId="5" xfId="0" applyNumberFormat="1" applyFont="1" applyBorder="1" applyAlignment="1">
      <alignment horizontal="left" vertical="center"/>
    </xf>
    <xf numFmtId="174" fontId="8" fillId="0" borderId="5" xfId="0" applyNumberFormat="1" applyFont="1" applyBorder="1" applyAlignment="1">
      <alignment horizontal="right" vertical="center"/>
    </xf>
    <xf numFmtId="168" fontId="8" fillId="0" borderId="5" xfId="5" applyNumberFormat="1" applyFont="1" applyBorder="1" applyAlignment="1">
      <alignment horizontal="center" vertical="center"/>
    </xf>
    <xf numFmtId="3" fontId="50" fillId="0" borderId="0" xfId="0" applyNumberFormat="1" applyFont="1"/>
    <xf numFmtId="4" fontId="50" fillId="0" borderId="0" xfId="0" applyNumberFormat="1" applyFont="1"/>
    <xf numFmtId="0" fontId="50" fillId="0" borderId="0" xfId="0" applyFont="1"/>
    <xf numFmtId="49" fontId="32" fillId="3" borderId="14" xfId="0" applyNumberFormat="1" applyFont="1" applyFill="1" applyBorder="1" applyAlignment="1">
      <alignment horizontal="center" vertical="center"/>
    </xf>
    <xf numFmtId="49" fontId="32" fillId="3" borderId="15" xfId="0" applyNumberFormat="1" applyFont="1" applyFill="1" applyBorder="1" applyAlignment="1">
      <alignment horizontal="center" vertical="center"/>
    </xf>
    <xf numFmtId="4" fontId="32" fillId="3" borderId="15" xfId="0" applyNumberFormat="1" applyFont="1" applyFill="1" applyBorder="1" applyAlignment="1">
      <alignment horizontal="center" vertical="center"/>
    </xf>
    <xf numFmtId="174" fontId="32" fillId="3" borderId="15" xfId="0" applyNumberFormat="1" applyFont="1" applyFill="1" applyBorder="1" applyAlignment="1">
      <alignment horizontal="right" vertical="center"/>
    </xf>
    <xf numFmtId="0" fontId="32" fillId="3" borderId="15" xfId="0" applyFont="1" applyFill="1" applyBorder="1" applyAlignment="1">
      <alignment vertical="center"/>
    </xf>
    <xf numFmtId="168" fontId="32" fillId="3" borderId="15" xfId="5" applyNumberFormat="1" applyFont="1" applyFill="1" applyBorder="1" applyAlignment="1">
      <alignment vertical="center"/>
    </xf>
    <xf numFmtId="168" fontId="51" fillId="3" borderId="15" xfId="5" applyNumberFormat="1" applyFont="1" applyFill="1" applyBorder="1" applyAlignment="1">
      <alignment vertical="center"/>
    </xf>
    <xf numFmtId="168" fontId="32" fillId="3" borderId="15" xfId="5" applyNumberFormat="1" applyFont="1" applyFill="1" applyBorder="1" applyAlignment="1">
      <alignment horizontal="center" vertical="center"/>
    </xf>
    <xf numFmtId="168" fontId="32" fillId="3" borderId="15" xfId="5" applyNumberFormat="1" applyFont="1" applyFill="1" applyBorder="1" applyAlignment="1">
      <alignment horizontal="center"/>
    </xf>
    <xf numFmtId="173" fontId="52" fillId="0" borderId="0" xfId="0" applyNumberFormat="1" applyFont="1"/>
    <xf numFmtId="3" fontId="52" fillId="0" borderId="0" xfId="0" applyNumberFormat="1" applyFont="1"/>
    <xf numFmtId="3" fontId="52" fillId="3" borderId="0" xfId="0" applyNumberFormat="1" applyFont="1" applyFill="1"/>
    <xf numFmtId="4" fontId="52" fillId="0" borderId="0" xfId="0" applyNumberFormat="1" applyFont="1"/>
    <xf numFmtId="0" fontId="52" fillId="0" borderId="0" xfId="0" applyFont="1"/>
    <xf numFmtId="0" fontId="26" fillId="3" borderId="5" xfId="0" applyFont="1" applyFill="1" applyBorder="1"/>
    <xf numFmtId="4" fontId="26" fillId="3" borderId="5" xfId="0" applyNumberFormat="1" applyFont="1" applyFill="1" applyBorder="1" applyAlignment="1">
      <alignment horizontal="center" vertical="center"/>
    </xf>
    <xf numFmtId="173" fontId="26" fillId="3" borderId="5" xfId="0" applyNumberFormat="1" applyFont="1" applyFill="1" applyBorder="1" applyAlignment="1">
      <alignment horizontal="center" vertical="center"/>
    </xf>
    <xf numFmtId="173" fontId="26" fillId="3" borderId="5" xfId="0" applyNumberFormat="1" applyFont="1" applyFill="1" applyBorder="1" applyAlignment="1">
      <alignment vertical="center"/>
    </xf>
    <xf numFmtId="173" fontId="32" fillId="3" borderId="5" xfId="0" applyNumberFormat="1" applyFont="1" applyFill="1" applyBorder="1" applyAlignment="1">
      <alignment horizontal="center" vertical="center"/>
    </xf>
    <xf numFmtId="3" fontId="26" fillId="3" borderId="5" xfId="0" applyNumberFormat="1" applyFont="1" applyFill="1" applyBorder="1" applyAlignment="1">
      <alignment horizontal="center" vertical="center"/>
    </xf>
    <xf numFmtId="3" fontId="26" fillId="3" borderId="5" xfId="0" applyNumberFormat="1" applyFont="1" applyFill="1" applyBorder="1" applyAlignment="1">
      <alignment horizontal="right" vertical="center"/>
    </xf>
    <xf numFmtId="3" fontId="26" fillId="3" borderId="5" xfId="0" applyNumberFormat="1" applyFont="1" applyFill="1" applyBorder="1" applyAlignment="1">
      <alignment horizontal="center"/>
    </xf>
    <xf numFmtId="3" fontId="46" fillId="0" borderId="0" xfId="0" applyNumberFormat="1" applyFont="1" applyAlignment="1">
      <alignment vertical="center"/>
    </xf>
    <xf numFmtId="3" fontId="46" fillId="0" borderId="0" xfId="0" applyNumberFormat="1" applyFont="1"/>
    <xf numFmtId="0" fontId="0" fillId="0" borderId="0" xfId="0" applyFont="1" applyAlignment="1">
      <alignment horizontal="left"/>
    </xf>
    <xf numFmtId="4" fontId="0" fillId="0" borderId="0" xfId="0" applyNumberFormat="1" applyFont="1"/>
    <xf numFmtId="3" fontId="24" fillId="0" borderId="0" xfId="0" applyNumberFormat="1" applyFont="1"/>
    <xf numFmtId="0" fontId="24" fillId="0" borderId="0" xfId="0" applyFont="1" applyAlignment="1">
      <alignment horizontal="center" vertical="center" wrapText="1"/>
    </xf>
    <xf numFmtId="0" fontId="50" fillId="0" borderId="0" xfId="0" applyFont="1" applyAlignment="1">
      <alignment vertical="center"/>
    </xf>
    <xf numFmtId="0" fontId="26" fillId="0" borderId="0" xfId="0" applyFont="1" applyBorder="1" applyAlignment="1">
      <alignment vertical="center" wrapText="1"/>
    </xf>
    <xf numFmtId="0" fontId="53" fillId="0" borderId="0" xfId="0" applyFont="1" applyBorder="1" applyAlignment="1" applyProtection="1">
      <alignment horizontal="center" vertical="center" wrapText="1" shrinkToFit="1"/>
      <protection locked="0"/>
    </xf>
    <xf numFmtId="3" fontId="53" fillId="0" borderId="0" xfId="0" applyNumberFormat="1" applyFont="1" applyBorder="1" applyAlignment="1" applyProtection="1">
      <alignment horizontal="right" vertical="center" wrapText="1" shrinkToFit="1"/>
      <protection locked="0"/>
    </xf>
    <xf numFmtId="0" fontId="53" fillId="0" borderId="0" xfId="0" applyFont="1" applyAlignment="1" applyProtection="1">
      <alignment horizontal="center" vertical="center" wrapText="1" shrinkToFit="1"/>
      <protection locked="0"/>
    </xf>
    <xf numFmtId="3" fontId="53" fillId="0" borderId="0" xfId="0" applyNumberFormat="1" applyFont="1" applyAlignment="1" applyProtection="1">
      <alignment vertical="center" wrapText="1" shrinkToFit="1"/>
      <protection locked="0"/>
    </xf>
    <xf numFmtId="0" fontId="32" fillId="0" borderId="0" xfId="0" applyFont="1" applyAlignment="1">
      <alignment horizontal="center" vertical="center" wrapText="1"/>
    </xf>
    <xf numFmtId="0" fontId="49" fillId="0" borderId="0" xfId="0" applyFont="1" applyAlignment="1">
      <alignment vertical="center"/>
    </xf>
    <xf numFmtId="0" fontId="26" fillId="0" borderId="0" xfId="0" applyFont="1" applyBorder="1" applyAlignment="1">
      <alignment horizontal="center" vertical="center" wrapText="1"/>
    </xf>
    <xf numFmtId="4" fontId="53" fillId="0" borderId="0" xfId="0" applyNumberFormat="1" applyFont="1" applyAlignment="1" applyProtection="1">
      <alignment vertical="center" wrapText="1" shrinkToFit="1"/>
      <protection locked="0"/>
    </xf>
    <xf numFmtId="0" fontId="32" fillId="0" borderId="0" xfId="0" applyFont="1" applyAlignment="1">
      <alignment horizontal="center" vertical="center"/>
    </xf>
    <xf numFmtId="0" fontId="26" fillId="0" borderId="0" xfId="0" applyFont="1" applyAlignment="1">
      <alignment horizontal="center" vertical="center" wrapText="1"/>
    </xf>
    <xf numFmtId="3" fontId="26" fillId="0" borderId="0" xfId="0" applyNumberFormat="1" applyFont="1" applyAlignment="1">
      <alignment vertical="center" wrapText="1"/>
    </xf>
    <xf numFmtId="0" fontId="53" fillId="0" borderId="0" xfId="0" applyFont="1" applyAlignment="1" applyProtection="1">
      <alignment vertical="center" wrapText="1" shrinkToFit="1"/>
      <protection locked="0"/>
    </xf>
    <xf numFmtId="0" fontId="24" fillId="0" borderId="0" xfId="0" applyFont="1" applyBorder="1" applyAlignment="1">
      <alignment vertical="center" wrapText="1"/>
    </xf>
    <xf numFmtId="0" fontId="24" fillId="0" borderId="0" xfId="0" applyFont="1" applyBorder="1" applyAlignment="1">
      <alignment horizontal="center" vertical="center" wrapText="1"/>
    </xf>
    <xf numFmtId="3" fontId="24" fillId="0" borderId="0" xfId="0" applyNumberFormat="1" applyFont="1" applyBorder="1" applyAlignment="1">
      <alignment horizontal="right" vertical="center" wrapText="1"/>
    </xf>
    <xf numFmtId="3" fontId="19" fillId="0" borderId="0" xfId="0" applyNumberFormat="1" applyFont="1"/>
    <xf numFmtId="3" fontId="26" fillId="0" borderId="0" xfId="0" applyNumberFormat="1" applyFont="1" applyBorder="1" applyAlignment="1">
      <alignment horizontal="right" vertical="center" wrapText="1"/>
    </xf>
    <xf numFmtId="3" fontId="20" fillId="0" borderId="0" xfId="0" applyNumberFormat="1" applyFont="1"/>
    <xf numFmtId="0" fontId="26" fillId="0" borderId="0" xfId="0" applyFont="1" applyAlignment="1">
      <alignment vertical="center" wrapText="1"/>
    </xf>
    <xf numFmtId="3" fontId="26" fillId="0" borderId="0" xfId="0" applyNumberFormat="1" applyFont="1" applyAlignment="1">
      <alignment horizontal="right" vertical="center" wrapText="1"/>
    </xf>
    <xf numFmtId="165" fontId="27" fillId="0" borderId="5" xfId="6" applyNumberFormat="1" applyFont="1" applyBorder="1" applyAlignment="1">
      <alignment horizontal="center" vertical="center" wrapText="1"/>
    </xf>
    <xf numFmtId="0" fontId="27" fillId="0" borderId="0" xfId="8" applyFont="1" applyProtection="1"/>
    <xf numFmtId="0" fontId="27" fillId="0" borderId="0" xfId="8" applyFont="1" applyAlignment="1" applyProtection="1">
      <alignment horizontal="center"/>
    </xf>
    <xf numFmtId="0" fontId="38" fillId="0" borderId="0" xfId="8" applyFont="1" applyProtection="1"/>
    <xf numFmtId="0" fontId="29" fillId="0" borderId="0" xfId="8" applyFont="1" applyProtection="1"/>
    <xf numFmtId="49" fontId="27" fillId="0" borderId="5" xfId="6" applyNumberFormat="1" applyFont="1" applyBorder="1" applyAlignment="1">
      <alignment horizontal="center" vertical="center"/>
    </xf>
    <xf numFmtId="49" fontId="27" fillId="0" borderId="5" xfId="6" applyNumberFormat="1" applyFont="1" applyBorder="1" applyAlignment="1">
      <alignment horizontal="center" vertical="center" shrinkToFit="1"/>
    </xf>
    <xf numFmtId="2" fontId="38" fillId="0" borderId="5" xfId="6" applyNumberFormat="1" applyFont="1" applyBorder="1" applyAlignment="1">
      <alignment horizontal="center" vertical="center" wrapText="1"/>
    </xf>
    <xf numFmtId="170" fontId="38" fillId="0" borderId="5" xfId="6" applyNumberFormat="1" applyFont="1" applyBorder="1" applyAlignment="1">
      <alignment horizontal="center" vertical="center" wrapText="1" shrinkToFit="1"/>
    </xf>
    <xf numFmtId="170" fontId="27" fillId="0" borderId="5" xfId="6" applyNumberFormat="1" applyFont="1" applyBorder="1" applyAlignment="1">
      <alignment horizontal="center" vertical="center" wrapText="1" shrinkToFit="1"/>
    </xf>
    <xf numFmtId="0" fontId="30" fillId="0" borderId="17" xfId="0" applyFont="1" applyBorder="1" applyAlignment="1">
      <alignment horizontal="center" vertical="center"/>
    </xf>
    <xf numFmtId="170" fontId="27" fillId="0" borderId="5" xfId="7" applyNumberFormat="1" applyFont="1" applyBorder="1" applyAlignment="1" applyProtection="1">
      <alignment horizontal="center" vertical="center" wrapText="1" shrinkToFit="1"/>
    </xf>
    <xf numFmtId="3" fontId="27" fillId="0" borderId="5" xfId="7" applyNumberFormat="1" applyFont="1" applyBorder="1" applyAlignment="1" applyProtection="1">
      <alignment horizontal="center" vertical="center" wrapText="1" shrinkToFit="1"/>
    </xf>
    <xf numFmtId="3" fontId="27" fillId="0" borderId="5" xfId="6" applyNumberFormat="1" applyFont="1" applyBorder="1" applyAlignment="1">
      <alignment horizontal="center" vertical="center" wrapText="1" shrinkToFit="1"/>
    </xf>
    <xf numFmtId="2" fontId="27" fillId="0" borderId="5" xfId="6" applyNumberFormat="1" applyFont="1" applyBorder="1" applyAlignment="1">
      <alignment horizontal="center" vertical="center" wrapText="1" shrinkToFit="1"/>
    </xf>
    <xf numFmtId="0" fontId="27" fillId="0" borderId="5" xfId="0" applyFont="1" applyBorder="1" applyAlignment="1">
      <alignment horizontal="center" vertical="center" wrapText="1"/>
    </xf>
    <xf numFmtId="0" fontId="28" fillId="0" borderId="17" xfId="0" applyFont="1" applyBorder="1" applyAlignment="1">
      <alignment horizontal="left" vertical="center" wrapText="1"/>
    </xf>
    <xf numFmtId="0" fontId="28" fillId="0" borderId="17" xfId="0" applyFont="1" applyBorder="1" applyAlignment="1">
      <alignment horizontal="center" vertical="center" wrapText="1"/>
    </xf>
    <xf numFmtId="2" fontId="30" fillId="0" borderId="17" xfId="0" applyNumberFormat="1" applyFont="1" applyBorder="1" applyAlignment="1">
      <alignment horizontal="center" vertical="center"/>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0" fillId="0" borderId="5" xfId="0" applyBorder="1" applyAlignment="1">
      <alignment horizontal="center" vertical="center"/>
    </xf>
    <xf numFmtId="0" fontId="39" fillId="0" borderId="0" xfId="10" applyFont="1" applyAlignment="1">
      <alignment vertical="top"/>
    </xf>
    <xf numFmtId="0" fontId="41" fillId="0" borderId="0" xfId="10" applyFont="1" applyAlignment="1">
      <alignment horizontal="center" vertical="center"/>
    </xf>
    <xf numFmtId="0" fontId="42" fillId="0" borderId="0" xfId="10" applyFont="1" applyAlignment="1">
      <alignment horizontal="center" vertical="center"/>
    </xf>
    <xf numFmtId="0" fontId="35" fillId="2" borderId="0" xfId="0" applyFont="1" applyFill="1"/>
    <xf numFmtId="0" fontId="35" fillId="2" borderId="0" xfId="0" applyFont="1" applyFill="1" applyAlignment="1">
      <alignment wrapText="1"/>
    </xf>
    <xf numFmtId="168" fontId="35" fillId="2" borderId="0" xfId="5" applyNumberFormat="1" applyFont="1" applyFill="1"/>
    <xf numFmtId="164" fontId="35" fillId="2" borderId="0" xfId="5" applyFont="1" applyFill="1"/>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168" fontId="36" fillId="2" borderId="2" xfId="5" applyNumberFormat="1" applyFont="1" applyFill="1" applyBorder="1" applyAlignment="1">
      <alignment horizontal="center" vertical="center" wrapText="1"/>
    </xf>
    <xf numFmtId="168" fontId="36" fillId="2" borderId="3" xfId="5" applyNumberFormat="1" applyFont="1" applyFill="1" applyBorder="1" applyAlignment="1">
      <alignment horizontal="center" vertical="center" wrapText="1"/>
    </xf>
    <xf numFmtId="168" fontId="36" fillId="2" borderId="0" xfId="5" applyNumberFormat="1" applyFont="1" applyFill="1" applyAlignment="1">
      <alignment horizontal="center" vertical="center" wrapText="1"/>
    </xf>
    <xf numFmtId="0" fontId="36" fillId="2" borderId="0" xfId="0" applyFont="1" applyFill="1" applyAlignment="1">
      <alignment horizontal="center" vertical="center" wrapText="1"/>
    </xf>
    <xf numFmtId="0" fontId="35" fillId="2" borderId="4" xfId="0" applyFont="1" applyFill="1" applyBorder="1"/>
    <xf numFmtId="0" fontId="35" fillId="2" borderId="5" xfId="0" applyFont="1" applyFill="1" applyBorder="1" applyAlignment="1">
      <alignment wrapText="1"/>
    </xf>
    <xf numFmtId="168" fontId="35" fillId="2" borderId="5" xfId="5" applyNumberFormat="1" applyFont="1" applyFill="1" applyBorder="1"/>
    <xf numFmtId="168" fontId="35" fillId="2" borderId="6" xfId="5" applyNumberFormat="1" applyFont="1" applyFill="1" applyBorder="1"/>
    <xf numFmtId="0" fontId="36" fillId="2" borderId="5" xfId="0" applyFont="1" applyFill="1" applyBorder="1" applyAlignment="1">
      <alignment wrapText="1"/>
    </xf>
    <xf numFmtId="168" fontId="36" fillId="2" borderId="5" xfId="5" applyNumberFormat="1" applyFont="1" applyFill="1" applyBorder="1"/>
    <xf numFmtId="168" fontId="36" fillId="2" borderId="19" xfId="5" applyNumberFormat="1" applyFont="1" applyFill="1" applyBorder="1" applyAlignment="1">
      <alignment horizontal="center" vertical="center" wrapText="1"/>
    </xf>
    <xf numFmtId="168" fontId="35" fillId="2" borderId="11" xfId="5" applyNumberFormat="1" applyFont="1" applyFill="1" applyBorder="1"/>
    <xf numFmtId="164" fontId="35" fillId="2" borderId="11" xfId="5" applyFont="1" applyFill="1" applyBorder="1"/>
    <xf numFmtId="164" fontId="36" fillId="2" borderId="5" xfId="5" applyFont="1" applyFill="1" applyBorder="1"/>
    <xf numFmtId="168" fontId="35" fillId="5" borderId="5" xfId="5" applyNumberFormat="1" applyFont="1" applyFill="1" applyBorder="1"/>
    <xf numFmtId="0" fontId="35" fillId="3" borderId="0" xfId="0" applyFont="1" applyFill="1" applyAlignment="1">
      <alignment wrapText="1"/>
    </xf>
    <xf numFmtId="168" fontId="36" fillId="2" borderId="1" xfId="5" applyNumberFormat="1" applyFont="1" applyFill="1" applyBorder="1" applyAlignment="1">
      <alignment horizontal="center" vertical="center" wrapText="1"/>
    </xf>
    <xf numFmtId="168" fontId="35" fillId="2" borderId="5" xfId="5" applyNumberFormat="1" applyFont="1" applyFill="1" applyBorder="1" applyAlignment="1">
      <alignment shrinkToFit="1"/>
    </xf>
    <xf numFmtId="168" fontId="36" fillId="2" borderId="8" xfId="5" applyNumberFormat="1" applyFont="1" applyFill="1" applyBorder="1" applyAlignment="1">
      <alignment shrinkToFit="1"/>
    </xf>
    <xf numFmtId="168" fontId="36" fillId="2" borderId="9" xfId="5" applyNumberFormat="1" applyFont="1" applyFill="1" applyBorder="1" applyAlignment="1">
      <alignment shrinkToFit="1"/>
    </xf>
    <xf numFmtId="0" fontId="36" fillId="2" borderId="0" xfId="0" applyFont="1" applyFill="1"/>
    <xf numFmtId="0" fontId="36" fillId="2" borderId="0" xfId="0" applyFont="1" applyFill="1" applyAlignment="1">
      <alignment horizontal="center"/>
    </xf>
    <xf numFmtId="0" fontId="56" fillId="2" borderId="0" xfId="0" applyFont="1" applyFill="1" applyAlignment="1">
      <alignment horizontal="center"/>
    </xf>
    <xf numFmtId="168" fontId="35" fillId="2" borderId="0" xfId="0" applyNumberFormat="1" applyFont="1" applyFill="1"/>
    <xf numFmtId="0" fontId="36" fillId="2" borderId="0" xfId="0" applyFont="1" applyFill="1" applyAlignment="1">
      <alignment horizontal="center"/>
    </xf>
    <xf numFmtId="0" fontId="56" fillId="2" borderId="0" xfId="0" applyFont="1" applyFill="1" applyAlignment="1">
      <alignment horizontal="center"/>
    </xf>
    <xf numFmtId="0" fontId="36" fillId="2" borderId="0" xfId="0" applyFont="1" applyFill="1" applyAlignment="1">
      <alignment horizontal="center"/>
    </xf>
    <xf numFmtId="0" fontId="56" fillId="2" borderId="0" xfId="0" applyFont="1" applyFill="1" applyAlignment="1">
      <alignment horizontal="center"/>
    </xf>
    <xf numFmtId="168" fontId="35" fillId="2" borderId="5" xfId="5" applyNumberFormat="1" applyFont="1" applyFill="1" applyBorder="1" applyAlignment="1">
      <alignment horizontal="center" vertical="center" shrinkToFit="1"/>
    </xf>
    <xf numFmtId="168" fontId="35" fillId="2" borderId="6" xfId="5" applyNumberFormat="1" applyFont="1" applyFill="1" applyBorder="1" applyAlignment="1">
      <alignment horizontal="center" vertical="center" shrinkToFit="1"/>
    </xf>
    <xf numFmtId="0" fontId="35" fillId="2" borderId="4" xfId="0" applyFont="1" applyFill="1" applyBorder="1" applyAlignment="1">
      <alignment horizontal="center" vertical="center"/>
    </xf>
    <xf numFmtId="168" fontId="36" fillId="2" borderId="0" xfId="0" applyNumberFormat="1" applyFont="1" applyFill="1"/>
    <xf numFmtId="0" fontId="1" fillId="2" borderId="5" xfId="3" quotePrefix="1" applyNumberFormat="1" applyFont="1" applyFill="1" applyBorder="1" applyAlignment="1">
      <alignment horizontal="left" vertical="center" wrapText="1"/>
    </xf>
    <xf numFmtId="0" fontId="1" fillId="2" borderId="5" xfId="3" applyNumberFormat="1" applyFont="1" applyFill="1" applyBorder="1" applyAlignment="1">
      <alignment horizontal="left" vertical="center" wrapText="1"/>
    </xf>
    <xf numFmtId="0" fontId="36" fillId="2" borderId="0" xfId="0" applyFont="1" applyFill="1" applyAlignment="1">
      <alignment horizontal="center"/>
    </xf>
    <xf numFmtId="0" fontId="56" fillId="2" borderId="0" xfId="0" applyFont="1" applyFill="1" applyAlignment="1">
      <alignment horizontal="center"/>
    </xf>
    <xf numFmtId="168" fontId="36" fillId="2" borderId="0" xfId="5" applyNumberFormat="1" applyFont="1" applyFill="1" applyAlignment="1">
      <alignment horizontal="center"/>
    </xf>
    <xf numFmtId="168" fontId="35" fillId="2" borderId="0" xfId="5" applyNumberFormat="1" applyFont="1" applyFill="1" applyAlignment="1">
      <alignment horizontal="center"/>
    </xf>
    <xf numFmtId="0" fontId="20" fillId="3" borderId="0" xfId="0" applyFont="1" applyFill="1"/>
    <xf numFmtId="0" fontId="36" fillId="2" borderId="4" xfId="0" applyFont="1" applyFill="1" applyBorder="1" applyAlignment="1">
      <alignment horizontal="center" vertical="center"/>
    </xf>
    <xf numFmtId="168" fontId="36" fillId="2" borderId="5" xfId="5" applyNumberFormat="1" applyFont="1" applyFill="1" applyBorder="1" applyAlignment="1">
      <alignment shrinkToFit="1"/>
    </xf>
    <xf numFmtId="164" fontId="35" fillId="2" borderId="0" xfId="5" applyFont="1" applyFill="1" applyAlignment="1">
      <alignment wrapText="1"/>
    </xf>
    <xf numFmtId="164" fontId="35" fillId="2" borderId="0" xfId="5" applyFont="1" applyFill="1" applyAlignment="1">
      <alignment shrinkToFit="1"/>
    </xf>
    <xf numFmtId="164" fontId="35" fillId="2" borderId="0" xfId="0" applyNumberFormat="1" applyFont="1" applyFill="1"/>
    <xf numFmtId="168" fontId="36" fillId="2" borderId="4" xfId="5" applyNumberFormat="1" applyFont="1" applyFill="1" applyBorder="1" applyAlignment="1">
      <alignment horizontal="center" vertical="center" wrapText="1"/>
    </xf>
    <xf numFmtId="168" fontId="36" fillId="2" borderId="5" xfId="5" applyNumberFormat="1" applyFont="1" applyFill="1" applyBorder="1" applyAlignment="1">
      <alignment horizontal="center" vertical="center" wrapText="1"/>
    </xf>
    <xf numFmtId="168" fontId="36" fillId="2" borderId="5" xfId="5" applyNumberFormat="1" applyFont="1" applyFill="1" applyBorder="1" applyAlignment="1">
      <alignment horizontal="center" vertical="center" shrinkToFit="1"/>
    </xf>
    <xf numFmtId="0" fontId="56" fillId="2" borderId="0" xfId="0" applyFont="1" applyFill="1" applyAlignment="1"/>
    <xf numFmtId="0" fontId="56" fillId="2" borderId="0" xfId="0" applyFont="1" applyFill="1" applyAlignment="1">
      <alignment horizontal="center"/>
    </xf>
    <xf numFmtId="0" fontId="56" fillId="2" borderId="0" xfId="0" applyFont="1" applyFill="1" applyAlignment="1">
      <alignment horizontal="center"/>
    </xf>
    <xf numFmtId="0" fontId="35" fillId="2" borderId="10" xfId="0" applyFont="1" applyFill="1" applyBorder="1" applyAlignment="1">
      <alignment wrapText="1"/>
    </xf>
    <xf numFmtId="168" fontId="35" fillId="2" borderId="10" xfId="5" applyNumberFormat="1" applyFont="1" applyFill="1" applyBorder="1" applyAlignment="1">
      <alignment horizontal="center" vertical="center" shrinkToFit="1"/>
    </xf>
    <xf numFmtId="0" fontId="35" fillId="2" borderId="5" xfId="0" applyFont="1" applyFill="1" applyBorder="1"/>
    <xf numFmtId="0" fontId="56" fillId="2" borderId="0" xfId="0" applyFont="1" applyFill="1" applyAlignment="1">
      <alignment horizontal="center"/>
    </xf>
    <xf numFmtId="0" fontId="35" fillId="2" borderId="25" xfId="0" applyFont="1" applyFill="1" applyBorder="1" applyAlignment="1">
      <alignment horizontal="center" vertical="center"/>
    </xf>
    <xf numFmtId="168" fontId="36" fillId="2" borderId="10" xfId="5" applyNumberFormat="1" applyFont="1" applyFill="1" applyBorder="1" applyAlignment="1">
      <alignment horizontal="center" vertical="center" wrapText="1"/>
    </xf>
    <xf numFmtId="0" fontId="56" fillId="2" borderId="0" xfId="0" applyFont="1" applyFill="1" applyAlignment="1">
      <alignment horizontal="center"/>
    </xf>
    <xf numFmtId="0" fontId="35" fillId="2" borderId="0" xfId="0" applyFont="1" applyFill="1" applyAlignment="1">
      <alignment horizontal="center"/>
    </xf>
    <xf numFmtId="0" fontId="36" fillId="2" borderId="0" xfId="0" applyFont="1" applyFill="1" applyAlignment="1">
      <alignment horizontal="center"/>
    </xf>
    <xf numFmtId="0" fontId="35" fillId="2" borderId="0" xfId="0" applyFont="1" applyFill="1" applyAlignment="1">
      <alignment horizontal="left"/>
    </xf>
    <xf numFmtId="168" fontId="36" fillId="2" borderId="8" xfId="5" applyNumberFormat="1" applyFont="1" applyFill="1" applyBorder="1" applyAlignment="1">
      <alignment horizontal="center" vertical="center" shrinkToFit="1"/>
    </xf>
    <xf numFmtId="168" fontId="36" fillId="2" borderId="6" xfId="5" applyNumberFormat="1" applyFont="1" applyFill="1" applyBorder="1" applyAlignment="1">
      <alignment horizontal="center" vertical="center" wrapText="1"/>
    </xf>
    <xf numFmtId="168" fontId="35" fillId="2" borderId="4" xfId="5" applyNumberFormat="1" applyFont="1" applyFill="1" applyBorder="1" applyAlignment="1">
      <alignment horizontal="center" vertical="center" wrapText="1"/>
    </xf>
    <xf numFmtId="168" fontId="35" fillId="2" borderId="5" xfId="5" applyNumberFormat="1" applyFont="1" applyFill="1" applyBorder="1" applyAlignment="1">
      <alignment horizontal="center" vertical="center" wrapText="1"/>
    </xf>
    <xf numFmtId="168" fontId="35" fillId="2" borderId="6" xfId="5" applyNumberFormat="1" applyFont="1" applyFill="1" applyBorder="1" applyAlignment="1">
      <alignment horizontal="center" vertical="center" wrapText="1"/>
    </xf>
    <xf numFmtId="168" fontId="36" fillId="2" borderId="6" xfId="5" applyNumberFormat="1" applyFont="1" applyFill="1" applyBorder="1" applyAlignment="1">
      <alignment horizontal="center" vertical="center" shrinkToFit="1"/>
    </xf>
    <xf numFmtId="168" fontId="36" fillId="2" borderId="9" xfId="5" applyNumberFormat="1" applyFont="1" applyFill="1" applyBorder="1" applyAlignment="1">
      <alignment horizontal="center" vertical="center" shrinkToFit="1"/>
    </xf>
    <xf numFmtId="168" fontId="36" fillId="2" borderId="5" xfId="5" applyNumberFormat="1" applyFont="1" applyFill="1" applyBorder="1" applyAlignment="1">
      <alignment horizontal="center" vertical="center"/>
    </xf>
    <xf numFmtId="168" fontId="36" fillId="2" borderId="6" xfId="5" applyNumberFormat="1" applyFont="1" applyFill="1" applyBorder="1" applyAlignment="1">
      <alignment horizontal="center" vertical="center"/>
    </xf>
    <xf numFmtId="168" fontId="35" fillId="2" borderId="5" xfId="5" applyNumberFormat="1" applyFont="1" applyFill="1" applyBorder="1" applyAlignment="1">
      <alignment horizontal="center" vertical="center"/>
    </xf>
    <xf numFmtId="168" fontId="35" fillId="2" borderId="6" xfId="5" applyNumberFormat="1" applyFont="1" applyFill="1" applyBorder="1" applyAlignment="1">
      <alignment horizontal="center" vertical="center"/>
    </xf>
    <xf numFmtId="0" fontId="35" fillId="2" borderId="22" xfId="0" applyFont="1" applyFill="1" applyBorder="1" applyAlignment="1">
      <alignment horizontal="center" vertical="center"/>
    </xf>
    <xf numFmtId="168" fontId="35" fillId="2" borderId="10" xfId="5" applyNumberFormat="1" applyFont="1" applyFill="1" applyBorder="1" applyAlignment="1">
      <alignment horizontal="center" vertical="center"/>
    </xf>
    <xf numFmtId="168" fontId="35" fillId="2" borderId="23" xfId="5" applyNumberFormat="1" applyFont="1" applyFill="1" applyBorder="1" applyAlignment="1">
      <alignment horizontal="center" vertical="center"/>
    </xf>
    <xf numFmtId="168" fontId="36" fillId="2" borderId="8" xfId="5" applyNumberFormat="1" applyFont="1" applyFill="1" applyBorder="1" applyAlignment="1">
      <alignment horizontal="center" vertical="center"/>
    </xf>
    <xf numFmtId="168" fontId="36" fillId="2" borderId="9" xfId="5" applyNumberFormat="1" applyFont="1" applyFill="1" applyBorder="1" applyAlignment="1">
      <alignment horizontal="center" vertical="center"/>
    </xf>
    <xf numFmtId="0" fontId="36" fillId="2" borderId="0" xfId="0" applyFont="1" applyFill="1" applyAlignment="1">
      <alignment horizontal="left"/>
    </xf>
    <xf numFmtId="0" fontId="56" fillId="2" borderId="0" xfId="0" applyFont="1" applyFill="1" applyAlignment="1">
      <alignment horizontal="left"/>
    </xf>
    <xf numFmtId="0" fontId="36" fillId="2" borderId="5" xfId="0" applyFont="1" applyFill="1" applyBorder="1" applyAlignment="1">
      <alignment horizontal="left" vertical="center" wrapText="1"/>
    </xf>
    <xf numFmtId="0" fontId="35" fillId="2" borderId="5" xfId="0" applyFont="1" applyFill="1" applyBorder="1" applyAlignment="1">
      <alignment horizontal="left" vertical="center" wrapText="1"/>
    </xf>
    <xf numFmtId="0" fontId="56" fillId="2" borderId="0" xfId="0" applyFont="1" applyFill="1" applyAlignment="1">
      <alignment horizontal="center"/>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35" fillId="2" borderId="0" xfId="0" applyFont="1" applyFill="1" applyAlignment="1">
      <alignment horizontal="center"/>
    </xf>
    <xf numFmtId="0" fontId="36" fillId="2" borderId="0" xfId="0" applyFont="1" applyFill="1" applyAlignment="1">
      <alignment horizontal="center"/>
    </xf>
    <xf numFmtId="0" fontId="36" fillId="2" borderId="7" xfId="0" applyFont="1" applyFill="1" applyBorder="1" applyAlignment="1">
      <alignment horizontal="center" vertical="center"/>
    </xf>
    <xf numFmtId="0" fontId="36" fillId="2" borderId="8" xfId="0" applyFont="1" applyFill="1" applyBorder="1" applyAlignment="1">
      <alignment horizontal="center" vertical="center"/>
    </xf>
    <xf numFmtId="0" fontId="36" fillId="2" borderId="7" xfId="0" applyFont="1" applyFill="1" applyBorder="1" applyAlignment="1">
      <alignment horizontal="center"/>
    </xf>
    <xf numFmtId="0" fontId="36" fillId="2" borderId="8" xfId="0" applyFont="1" applyFill="1" applyBorder="1" applyAlignment="1">
      <alignment horizontal="center"/>
    </xf>
    <xf numFmtId="0" fontId="56" fillId="2" borderId="0" xfId="0" applyFont="1" applyFill="1" applyAlignment="1">
      <alignment horizontal="right"/>
    </xf>
    <xf numFmtId="0" fontId="18" fillId="2" borderId="0" xfId="0" applyFont="1" applyFill="1" applyAlignment="1">
      <alignment horizontal="left" vertical="center" wrapText="1"/>
    </xf>
    <xf numFmtId="49" fontId="2" fillId="2" borderId="0" xfId="1" applyNumberFormat="1" applyFont="1" applyFill="1" applyAlignment="1">
      <alignment horizontal="center" wrapText="1"/>
    </xf>
    <xf numFmtId="2" fontId="4" fillId="2" borderId="0" xfId="1" applyNumberFormat="1" applyFont="1" applyFill="1" applyAlignment="1">
      <alignment horizontal="center" wrapText="1"/>
    </xf>
    <xf numFmtId="0" fontId="18" fillId="2" borderId="0" xfId="0" quotePrefix="1" applyFont="1" applyFill="1" applyAlignment="1">
      <alignment horizontal="left" vertical="center" wrapText="1"/>
    </xf>
    <xf numFmtId="0" fontId="26" fillId="0" borderId="0" xfId="0" applyFont="1" applyAlignment="1">
      <alignment horizontal="left" vertical="center" wrapText="1"/>
    </xf>
    <xf numFmtId="0" fontId="32" fillId="0" borderId="0" xfId="0" applyFont="1" applyAlignment="1">
      <alignment horizontal="center" vertical="center"/>
    </xf>
    <xf numFmtId="0" fontId="34" fillId="0" borderId="0" xfId="0" applyFont="1" applyAlignment="1">
      <alignment horizontal="center" vertical="center"/>
    </xf>
    <xf numFmtId="0" fontId="24" fillId="0" borderId="16" xfId="0" applyFont="1" applyBorder="1" applyAlignment="1">
      <alignment horizontal="center"/>
    </xf>
    <xf numFmtId="0" fontId="26" fillId="0" borderId="10"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49" fontId="32" fillId="3" borderId="11" xfId="0" applyNumberFormat="1" applyFont="1" applyFill="1" applyBorder="1" applyAlignment="1">
      <alignment horizontal="center" vertical="center" wrapText="1"/>
    </xf>
    <xf numFmtId="49" fontId="32" fillId="3" borderId="13" xfId="0" applyNumberFormat="1" applyFont="1" applyFill="1" applyBorder="1" applyAlignment="1">
      <alignment horizontal="center" vertical="center" wrapText="1"/>
    </xf>
    <xf numFmtId="0" fontId="8" fillId="0" borderId="0" xfId="0" applyFont="1" applyAlignment="1">
      <alignment horizontal="center" vertical="center"/>
    </xf>
    <xf numFmtId="0" fontId="25" fillId="0" borderId="0" xfId="0" applyFont="1" applyAlignment="1">
      <alignment horizontal="center" vertical="center" wrapText="1"/>
    </xf>
    <xf numFmtId="0" fontId="26" fillId="0" borderId="10"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32" fillId="0" borderId="0" xfId="0" applyFont="1" applyAlignment="1">
      <alignment horizontal="center" vertical="center" wrapText="1"/>
    </xf>
    <xf numFmtId="0" fontId="38" fillId="0" borderId="0" xfId="8" applyFont="1" applyAlignment="1" applyProtection="1">
      <alignment horizontal="center"/>
    </xf>
    <xf numFmtId="0" fontId="38" fillId="0" borderId="0" xfId="6" applyFont="1" applyAlignment="1">
      <alignment horizontal="center" vertical="center" wrapText="1"/>
    </xf>
    <xf numFmtId="0" fontId="29" fillId="0" borderId="0" xfId="6" applyFont="1" applyAlignment="1">
      <alignment horizontal="center" vertical="center" wrapText="1"/>
    </xf>
    <xf numFmtId="0" fontId="27" fillId="0" borderId="5" xfId="6" applyFont="1" applyBorder="1" applyAlignment="1">
      <alignment horizontal="center" vertical="center" wrapText="1"/>
    </xf>
    <xf numFmtId="49" fontId="27" fillId="0" borderId="5" xfId="6" applyNumberFormat="1" applyFont="1" applyBorder="1" applyAlignment="1">
      <alignment horizontal="center" vertical="center" wrapText="1"/>
    </xf>
    <xf numFmtId="165" fontId="27" fillId="0" borderId="5" xfId="6" applyNumberFormat="1" applyFont="1" applyBorder="1" applyAlignment="1">
      <alignment horizontal="center" vertical="center" wrapText="1"/>
    </xf>
    <xf numFmtId="3" fontId="27" fillId="0" borderId="5" xfId="6" applyNumberFormat="1" applyFont="1" applyBorder="1" applyAlignment="1">
      <alignment horizontal="center" vertical="center" wrapText="1"/>
    </xf>
    <xf numFmtId="3" fontId="29" fillId="0" borderId="5" xfId="6" applyNumberFormat="1" applyFont="1" applyBorder="1" applyAlignment="1">
      <alignment horizontal="center" vertical="center" wrapText="1"/>
    </xf>
    <xf numFmtId="3" fontId="27" fillId="0" borderId="10" xfId="6" applyNumberFormat="1" applyFont="1" applyBorder="1" applyAlignment="1">
      <alignment horizontal="center" vertical="center" wrapText="1"/>
    </xf>
    <xf numFmtId="3" fontId="27" fillId="0" borderId="14" xfId="6" applyNumberFormat="1" applyFont="1" applyBorder="1" applyAlignment="1">
      <alignment horizontal="center" vertical="center" wrapText="1"/>
    </xf>
    <xf numFmtId="3" fontId="27" fillId="0" borderId="15" xfId="6" applyNumberFormat="1" applyFont="1" applyBorder="1" applyAlignment="1">
      <alignment horizontal="center" vertical="center" wrapText="1"/>
    </xf>
    <xf numFmtId="165" fontId="27" fillId="0" borderId="10" xfId="6" applyNumberFormat="1" applyFont="1" applyBorder="1" applyAlignment="1">
      <alignment horizontal="center" vertical="center" wrapText="1"/>
    </xf>
    <xf numFmtId="165" fontId="27" fillId="0" borderId="15" xfId="6" applyNumberFormat="1" applyFont="1" applyBorder="1" applyAlignment="1">
      <alignment horizontal="center" vertical="center" wrapText="1"/>
    </xf>
    <xf numFmtId="165" fontId="29" fillId="0" borderId="11" xfId="6" applyNumberFormat="1" applyFont="1" applyBorder="1" applyAlignment="1">
      <alignment horizontal="center" vertical="center" wrapText="1"/>
    </xf>
    <xf numFmtId="165" fontId="29" fillId="0" borderId="12" xfId="6" applyNumberFormat="1" applyFont="1" applyBorder="1" applyAlignment="1">
      <alignment horizontal="center" vertical="center" wrapText="1"/>
    </xf>
    <xf numFmtId="165" fontId="29" fillId="0" borderId="13" xfId="6" applyNumberFormat="1" applyFont="1" applyBorder="1" applyAlignment="1">
      <alignment horizontal="center" vertical="center" wrapText="1"/>
    </xf>
    <xf numFmtId="0" fontId="39" fillId="0" borderId="0" xfId="0" applyFont="1" applyAlignment="1">
      <alignment horizontal="center"/>
    </xf>
    <xf numFmtId="0" fontId="42" fillId="0" borderId="0" xfId="10" applyFont="1" applyAlignment="1">
      <alignment horizontal="center" vertical="center"/>
    </xf>
    <xf numFmtId="0" fontId="39" fillId="0" borderId="0" xfId="10" applyFont="1" applyAlignment="1">
      <alignment horizontal="center" vertical="top"/>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8"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18" xfId="0" applyFont="1" applyBorder="1" applyAlignment="1">
      <alignment horizontal="center" vertical="center" wrapText="1"/>
    </xf>
    <xf numFmtId="0" fontId="39" fillId="0" borderId="0" xfId="8" applyFont="1" applyAlignment="1" applyProtection="1">
      <alignment horizontal="center"/>
    </xf>
    <xf numFmtId="37" fontId="40" fillId="0" borderId="0" xfId="9" applyNumberFormat="1" applyFont="1" applyAlignment="1">
      <alignment horizontal="center" vertical="center"/>
    </xf>
    <xf numFmtId="168" fontId="35" fillId="2" borderId="0" xfId="5" applyNumberFormat="1" applyFont="1" applyFill="1" applyAlignment="1">
      <alignment horizontal="center"/>
    </xf>
    <xf numFmtId="0" fontId="35" fillId="2" borderId="24" xfId="0" applyFont="1" applyFill="1" applyBorder="1" applyAlignment="1">
      <alignment horizontal="left" wrapText="1"/>
    </xf>
    <xf numFmtId="0" fontId="35" fillId="2" borderId="24" xfId="0" applyFont="1" applyFill="1" applyBorder="1" applyAlignment="1">
      <alignment horizontal="left"/>
    </xf>
    <xf numFmtId="0" fontId="35" fillId="2" borderId="0" xfId="0" applyFont="1" applyFill="1" applyAlignment="1">
      <alignment horizontal="left"/>
    </xf>
  </cellXfs>
  <cellStyles count="11">
    <cellStyle name="Comma" xfId="5" builtinId="3"/>
    <cellStyle name="Comma 2" xfId="9"/>
    <cellStyle name="Normal" xfId="0" builtinId="0"/>
    <cellStyle name="Normal 2" xfId="10"/>
    <cellStyle name="Normal 2 19" xfId="8"/>
    <cellStyle name="Normal 2 21" xfId="1"/>
    <cellStyle name="Normal 2 22" xfId="3"/>
    <cellStyle name="Normal 29" xfId="4"/>
    <cellStyle name="Normal_Du thao PA PBDT 2016 (25-12-2015)chuan" xfId="7"/>
    <cellStyle name="Normal_KHCONLAI" xfId="2"/>
    <cellStyle name="Normal_Tong hop bien che, lao dong tien luong 2013 huyen Son Ha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3</xdr:row>
      <xdr:rowOff>19050</xdr:rowOff>
    </xdr:from>
    <xdr:to>
      <xdr:col>1</xdr:col>
      <xdr:colOff>590550</xdr:colOff>
      <xdr:row>3</xdr:row>
      <xdr:rowOff>19050</xdr:rowOff>
    </xdr:to>
    <xdr:cxnSp macro="">
      <xdr:nvCxnSpPr>
        <xdr:cNvPr id="2" name="Straight Connector 1">
          <a:extLst>
            <a:ext uri="{FF2B5EF4-FFF2-40B4-BE49-F238E27FC236}">
              <a16:creationId xmlns:a16="http://schemas.microsoft.com/office/drawing/2014/main" xmlns="" id="{00000000-0008-0000-0000-000002000000}"/>
            </a:ext>
          </a:extLst>
        </xdr:cNvPr>
        <xdr:cNvCxnSpPr/>
      </xdr:nvCxnSpPr>
      <xdr:spPr>
        <a:xfrm>
          <a:off x="600075" y="619125"/>
          <a:ext cx="6000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1114425</xdr:colOff>
      <xdr:row>3</xdr:row>
      <xdr:rowOff>9525</xdr:rowOff>
    </xdr:from>
    <xdr:to>
      <xdr:col>5</xdr:col>
      <xdr:colOff>381000</xdr:colOff>
      <xdr:row>3</xdr:row>
      <xdr:rowOff>19050</xdr:rowOff>
    </xdr:to>
    <xdr:cxnSp macro="">
      <xdr:nvCxnSpPr>
        <xdr:cNvPr id="3" name="Straight Connector 2">
          <a:extLst>
            <a:ext uri="{FF2B5EF4-FFF2-40B4-BE49-F238E27FC236}">
              <a16:creationId xmlns:a16="http://schemas.microsoft.com/office/drawing/2014/main" xmlns="" id="{00000000-0008-0000-0000-000003000000}"/>
            </a:ext>
          </a:extLst>
        </xdr:cNvPr>
        <xdr:cNvCxnSpPr/>
      </xdr:nvCxnSpPr>
      <xdr:spPr>
        <a:xfrm flipV="1">
          <a:off x="4057650" y="609600"/>
          <a:ext cx="17240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3</xdr:row>
      <xdr:rowOff>19050</xdr:rowOff>
    </xdr:from>
    <xdr:to>
      <xdr:col>1</xdr:col>
      <xdr:colOff>590550</xdr:colOff>
      <xdr:row>3</xdr:row>
      <xdr:rowOff>19050</xdr:rowOff>
    </xdr:to>
    <xdr:cxnSp macro="">
      <xdr:nvCxnSpPr>
        <xdr:cNvPr id="3" name="Straight Connector 2">
          <a:extLst>
            <a:ext uri="{FF2B5EF4-FFF2-40B4-BE49-F238E27FC236}">
              <a16:creationId xmlns:a16="http://schemas.microsoft.com/office/drawing/2014/main" xmlns="" id="{00000000-0008-0000-0100-000003000000}"/>
            </a:ext>
          </a:extLst>
        </xdr:cNvPr>
        <xdr:cNvCxnSpPr/>
      </xdr:nvCxnSpPr>
      <xdr:spPr>
        <a:xfrm>
          <a:off x="600075" y="619125"/>
          <a:ext cx="6000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1114425</xdr:colOff>
      <xdr:row>3</xdr:row>
      <xdr:rowOff>9525</xdr:rowOff>
    </xdr:from>
    <xdr:to>
      <xdr:col>5</xdr:col>
      <xdr:colOff>381000</xdr:colOff>
      <xdr:row>3</xdr:row>
      <xdr:rowOff>19050</xdr:rowOff>
    </xdr:to>
    <xdr:cxnSp macro="">
      <xdr:nvCxnSpPr>
        <xdr:cNvPr id="7" name="Straight Connector 6">
          <a:extLst>
            <a:ext uri="{FF2B5EF4-FFF2-40B4-BE49-F238E27FC236}">
              <a16:creationId xmlns:a16="http://schemas.microsoft.com/office/drawing/2014/main" xmlns="" id="{00000000-0008-0000-0100-000007000000}"/>
            </a:ext>
          </a:extLst>
        </xdr:cNvPr>
        <xdr:cNvCxnSpPr/>
      </xdr:nvCxnSpPr>
      <xdr:spPr>
        <a:xfrm flipV="1">
          <a:off x="4057650" y="609600"/>
          <a:ext cx="17240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2</xdr:row>
      <xdr:rowOff>190500</xdr:rowOff>
    </xdr:from>
    <xdr:to>
      <xdr:col>1</xdr:col>
      <xdr:colOff>990600</xdr:colOff>
      <xdr:row>2</xdr:row>
      <xdr:rowOff>190500</xdr:rowOff>
    </xdr:to>
    <xdr:cxnSp macro="">
      <xdr:nvCxnSpPr>
        <xdr:cNvPr id="2" name="Straight Connector 1">
          <a:extLst>
            <a:ext uri="{FF2B5EF4-FFF2-40B4-BE49-F238E27FC236}">
              <a16:creationId xmlns:a16="http://schemas.microsoft.com/office/drawing/2014/main" xmlns="" id="{00000000-0008-0000-0200-000002000000}"/>
            </a:ext>
          </a:extLst>
        </xdr:cNvPr>
        <xdr:cNvCxnSpPr/>
      </xdr:nvCxnSpPr>
      <xdr:spPr>
        <a:xfrm>
          <a:off x="895350" y="590550"/>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3</xdr:row>
      <xdr:rowOff>0</xdr:rowOff>
    </xdr:from>
    <xdr:to>
      <xdr:col>3</xdr:col>
      <xdr:colOff>1171575</xdr:colOff>
      <xdr:row>3</xdr:row>
      <xdr:rowOff>0</xdr:rowOff>
    </xdr:to>
    <xdr:cxnSp macro="">
      <xdr:nvCxnSpPr>
        <xdr:cNvPr id="3" name="Straight Connector 2">
          <a:extLst>
            <a:ext uri="{FF2B5EF4-FFF2-40B4-BE49-F238E27FC236}">
              <a16:creationId xmlns:a16="http://schemas.microsoft.com/office/drawing/2014/main" xmlns="" id="{00000000-0008-0000-0200-000003000000}"/>
            </a:ext>
          </a:extLst>
        </xdr:cNvPr>
        <xdr:cNvCxnSpPr/>
      </xdr:nvCxnSpPr>
      <xdr:spPr>
        <a:xfrm>
          <a:off x="3857625" y="600075"/>
          <a:ext cx="90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2</xdr:row>
      <xdr:rowOff>190500</xdr:rowOff>
    </xdr:from>
    <xdr:to>
      <xdr:col>1</xdr:col>
      <xdr:colOff>923925</xdr:colOff>
      <xdr:row>2</xdr:row>
      <xdr:rowOff>190500</xdr:rowOff>
    </xdr:to>
    <xdr:cxnSp macro="">
      <xdr:nvCxnSpPr>
        <xdr:cNvPr id="3" name="Straight Connector 2">
          <a:extLst>
            <a:ext uri="{FF2B5EF4-FFF2-40B4-BE49-F238E27FC236}">
              <a16:creationId xmlns:a16="http://schemas.microsoft.com/office/drawing/2014/main" xmlns="" id="{00000000-0008-0000-0300-000003000000}"/>
            </a:ext>
          </a:extLst>
        </xdr:cNvPr>
        <xdr:cNvCxnSpPr/>
      </xdr:nvCxnSpPr>
      <xdr:spPr>
        <a:xfrm>
          <a:off x="828675" y="590550"/>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1104900</xdr:colOff>
      <xdr:row>3</xdr:row>
      <xdr:rowOff>9525</xdr:rowOff>
    </xdr:from>
    <xdr:to>
      <xdr:col>4</xdr:col>
      <xdr:colOff>1009650</xdr:colOff>
      <xdr:row>3</xdr:row>
      <xdr:rowOff>9525</xdr:rowOff>
    </xdr:to>
    <xdr:cxnSp macro="">
      <xdr:nvCxnSpPr>
        <xdr:cNvPr id="4" name="Straight Connector 3">
          <a:extLst>
            <a:ext uri="{FF2B5EF4-FFF2-40B4-BE49-F238E27FC236}">
              <a16:creationId xmlns:a16="http://schemas.microsoft.com/office/drawing/2014/main" xmlns="" id="{00000000-0008-0000-0300-000004000000}"/>
            </a:ext>
          </a:extLst>
        </xdr:cNvPr>
        <xdr:cNvCxnSpPr/>
      </xdr:nvCxnSpPr>
      <xdr:spPr>
        <a:xfrm>
          <a:off x="4514850" y="609600"/>
          <a:ext cx="1285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371475</xdr:colOff>
      <xdr:row>2</xdr:row>
      <xdr:rowOff>190500</xdr:rowOff>
    </xdr:from>
    <xdr:to>
      <xdr:col>1</xdr:col>
      <xdr:colOff>923925</xdr:colOff>
      <xdr:row>2</xdr:row>
      <xdr:rowOff>190500</xdr:rowOff>
    </xdr:to>
    <xdr:cxnSp macro="">
      <xdr:nvCxnSpPr>
        <xdr:cNvPr id="4" name="Straight Connector 3">
          <a:extLst>
            <a:ext uri="{FF2B5EF4-FFF2-40B4-BE49-F238E27FC236}">
              <a16:creationId xmlns:a16="http://schemas.microsoft.com/office/drawing/2014/main" xmlns="" id="{00000000-0008-0000-0D00-000004000000}"/>
            </a:ext>
          </a:extLst>
        </xdr:cNvPr>
        <xdr:cNvCxnSpPr/>
      </xdr:nvCxnSpPr>
      <xdr:spPr>
        <a:xfrm>
          <a:off x="828675" y="590550"/>
          <a:ext cx="5524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3</xdr:row>
      <xdr:rowOff>0</xdr:rowOff>
    </xdr:from>
    <xdr:to>
      <xdr:col>5</xdr:col>
      <xdr:colOff>381000</xdr:colOff>
      <xdr:row>3</xdr:row>
      <xdr:rowOff>0</xdr:rowOff>
    </xdr:to>
    <xdr:cxnSp macro="">
      <xdr:nvCxnSpPr>
        <xdr:cNvPr id="5" name="Straight Connector 4">
          <a:extLst>
            <a:ext uri="{FF2B5EF4-FFF2-40B4-BE49-F238E27FC236}">
              <a16:creationId xmlns:a16="http://schemas.microsoft.com/office/drawing/2014/main" xmlns="" id="{00000000-0008-0000-0D00-000005000000}"/>
            </a:ext>
          </a:extLst>
        </xdr:cNvPr>
        <xdr:cNvCxnSpPr/>
      </xdr:nvCxnSpPr>
      <xdr:spPr>
        <a:xfrm>
          <a:off x="5067300" y="600075"/>
          <a:ext cx="1285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9"/>
  <sheetViews>
    <sheetView workbookViewId="0">
      <selection activeCell="A6" sqref="A6:F6"/>
    </sheetView>
  </sheetViews>
  <sheetFormatPr defaultColWidth="9.109375" defaultRowHeight="15.6"/>
  <cols>
    <col min="1" max="1" width="9.109375" style="311"/>
    <col min="2" max="2" width="28.5546875" style="376" customWidth="1"/>
    <col min="3" max="4" width="17.109375" style="311" customWidth="1"/>
    <col min="5" max="5" width="19.6640625" style="311" customWidth="1"/>
    <col min="6" max="6" width="15.6640625" style="311" bestFit="1" customWidth="1"/>
    <col min="7" max="7" width="9.109375" style="311"/>
    <col min="8" max="8" width="14" style="311" bestFit="1" customWidth="1"/>
    <col min="9" max="16384" width="9.109375" style="311"/>
  </cols>
  <sheetData>
    <row r="1" spans="1:8">
      <c r="E1" s="400" t="s">
        <v>324</v>
      </c>
      <c r="F1" s="400"/>
    </row>
    <row r="2" spans="1:8" s="337" customFormat="1">
      <c r="A2" s="401" t="s">
        <v>311</v>
      </c>
      <c r="B2" s="401"/>
      <c r="C2" s="401" t="s">
        <v>314</v>
      </c>
      <c r="D2" s="401"/>
      <c r="E2" s="401"/>
      <c r="F2" s="401"/>
      <c r="G2" s="401"/>
      <c r="H2" s="401"/>
    </row>
    <row r="3" spans="1:8" s="337" customFormat="1">
      <c r="A3" s="401" t="s">
        <v>312</v>
      </c>
      <c r="B3" s="401"/>
      <c r="C3" s="401" t="s">
        <v>315</v>
      </c>
      <c r="D3" s="401"/>
      <c r="E3" s="401"/>
      <c r="F3" s="401"/>
      <c r="G3" s="401"/>
      <c r="H3" s="401"/>
    </row>
    <row r="4" spans="1:8" s="337" customFormat="1">
      <c r="A4" s="343"/>
      <c r="B4" s="393"/>
      <c r="C4" s="343"/>
      <c r="D4" s="343"/>
      <c r="E4" s="343"/>
      <c r="F4" s="343"/>
    </row>
    <row r="5" spans="1:8">
      <c r="A5" s="401" t="s">
        <v>327</v>
      </c>
      <c r="B5" s="401"/>
      <c r="C5" s="401"/>
      <c r="D5" s="401"/>
      <c r="E5" s="401"/>
      <c r="F5" s="401"/>
    </row>
    <row r="6" spans="1:8">
      <c r="A6" s="397" t="str">
        <f>'PL 2 DIEU CHINH NGUON KCT'!A6:F6</f>
        <v>(Kèm theo Nghị quyết số     /NQ-HĐND ngày     tháng 10 năm 2025 của HĐND  xã Sơn Hà)</v>
      </c>
      <c r="B6" s="397"/>
      <c r="C6" s="397"/>
      <c r="D6" s="397"/>
      <c r="E6" s="397"/>
      <c r="F6" s="397"/>
    </row>
    <row r="7" spans="1:8">
      <c r="A7" s="344"/>
      <c r="B7" s="394"/>
      <c r="C7" s="344"/>
      <c r="D7" s="344"/>
      <c r="E7" s="344"/>
      <c r="F7" s="344"/>
    </row>
    <row r="8" spans="1:8" ht="16.2" thickBot="1"/>
    <row r="9" spans="1:8" ht="94.2" thickTop="1">
      <c r="A9" s="333" t="s">
        <v>168</v>
      </c>
      <c r="B9" s="317" t="s">
        <v>313</v>
      </c>
      <c r="C9" s="317" t="s">
        <v>338</v>
      </c>
      <c r="D9" s="317" t="s">
        <v>317</v>
      </c>
      <c r="E9" s="317" t="s">
        <v>390</v>
      </c>
      <c r="F9" s="318" t="s">
        <v>7</v>
      </c>
    </row>
    <row r="10" spans="1:8" s="337" customFormat="1" ht="46.8">
      <c r="A10" s="356">
        <v>1</v>
      </c>
      <c r="B10" s="395" t="s">
        <v>326</v>
      </c>
      <c r="C10" s="384">
        <f>SUM(C11:C13)</f>
        <v>227316217</v>
      </c>
      <c r="D10" s="384">
        <f>SUM(D11:D13)</f>
        <v>0</v>
      </c>
      <c r="E10" s="384">
        <f>SUM(E11:E13)</f>
        <v>-227316217</v>
      </c>
      <c r="F10" s="385"/>
      <c r="H10" s="348"/>
    </row>
    <row r="11" spans="1:8" ht="31.2">
      <c r="A11" s="347"/>
      <c r="B11" s="349" t="s">
        <v>52</v>
      </c>
      <c r="C11" s="386">
        <v>86579690</v>
      </c>
      <c r="D11" s="386">
        <v>0</v>
      </c>
      <c r="E11" s="386">
        <f>D11-C11</f>
        <v>-86579690</v>
      </c>
      <c r="F11" s="387"/>
      <c r="H11" s="340"/>
    </row>
    <row r="12" spans="1:8">
      <c r="A12" s="347"/>
      <c r="B12" s="349" t="s">
        <v>54</v>
      </c>
      <c r="C12" s="386">
        <v>110736527</v>
      </c>
      <c r="D12" s="386">
        <v>0</v>
      </c>
      <c r="E12" s="386">
        <f t="shared" ref="E12:E17" si="0">D12-C12</f>
        <v>-110736527</v>
      </c>
      <c r="F12" s="387"/>
      <c r="H12" s="340"/>
    </row>
    <row r="13" spans="1:8">
      <c r="A13" s="347"/>
      <c r="B13" s="350" t="s">
        <v>55</v>
      </c>
      <c r="C13" s="386">
        <v>30000000</v>
      </c>
      <c r="D13" s="386">
        <v>0</v>
      </c>
      <c r="E13" s="386">
        <f t="shared" si="0"/>
        <v>-30000000</v>
      </c>
      <c r="F13" s="387"/>
      <c r="H13" s="340"/>
    </row>
    <row r="14" spans="1:8" s="337" customFormat="1" ht="31.2">
      <c r="A14" s="356">
        <v>2</v>
      </c>
      <c r="B14" s="395" t="s">
        <v>184</v>
      </c>
      <c r="C14" s="384">
        <f>SUM(C15:C17)</f>
        <v>0</v>
      </c>
      <c r="D14" s="384">
        <f t="shared" ref="D14:E14" si="1">SUM(D15:D17)</f>
        <v>227316217</v>
      </c>
      <c r="E14" s="384">
        <f t="shared" si="1"/>
        <v>227316217</v>
      </c>
      <c r="F14" s="385"/>
    </row>
    <row r="15" spans="1:8" ht="31.2">
      <c r="A15" s="388"/>
      <c r="B15" s="349" t="s">
        <v>52</v>
      </c>
      <c r="C15" s="389">
        <v>0</v>
      </c>
      <c r="D15" s="389">
        <v>86579690</v>
      </c>
      <c r="E15" s="386">
        <f t="shared" si="0"/>
        <v>86579690</v>
      </c>
      <c r="F15" s="390"/>
    </row>
    <row r="16" spans="1:8">
      <c r="A16" s="388"/>
      <c r="B16" s="349" t="s">
        <v>54</v>
      </c>
      <c r="C16" s="389">
        <v>0</v>
      </c>
      <c r="D16" s="389">
        <v>110736527</v>
      </c>
      <c r="E16" s="386">
        <f t="shared" si="0"/>
        <v>110736527</v>
      </c>
      <c r="F16" s="390"/>
    </row>
    <row r="17" spans="1:6">
      <c r="A17" s="388"/>
      <c r="B17" s="350" t="s">
        <v>55</v>
      </c>
      <c r="C17" s="389">
        <v>0</v>
      </c>
      <c r="D17" s="389">
        <v>30000000</v>
      </c>
      <c r="E17" s="386">
        <f t="shared" si="0"/>
        <v>30000000</v>
      </c>
      <c r="F17" s="390"/>
    </row>
    <row r="18" spans="1:6" ht="27" customHeight="1" thickBot="1">
      <c r="A18" s="398" t="s">
        <v>170</v>
      </c>
      <c r="B18" s="399"/>
      <c r="C18" s="391"/>
      <c r="D18" s="391"/>
      <c r="E18" s="391">
        <f>E10+E14</f>
        <v>0</v>
      </c>
      <c r="F18" s="392">
        <f>SUM(F10:F14)</f>
        <v>0</v>
      </c>
    </row>
    <row r="19" spans="1:6" ht="16.2" thickTop="1"/>
  </sheetData>
  <mergeCells count="8">
    <mergeCell ref="A6:F6"/>
    <mergeCell ref="A18:B18"/>
    <mergeCell ref="E1:F1"/>
    <mergeCell ref="A2:B2"/>
    <mergeCell ref="C2:H2"/>
    <mergeCell ref="A3:B3"/>
    <mergeCell ref="C3:H3"/>
    <mergeCell ref="A5:F5"/>
  </mergeCells>
  <pageMargins left="0.42" right="0.2" top="0.54"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9"/>
  <sheetViews>
    <sheetView workbookViewId="0">
      <selection activeCell="D20" sqref="D20"/>
    </sheetView>
  </sheetViews>
  <sheetFormatPr defaultRowHeight="14.4"/>
  <cols>
    <col min="2" max="2" width="39.5546875" bestFit="1" customWidth="1"/>
    <col min="3" max="3" width="10.109375" customWidth="1"/>
    <col min="4" max="4" width="18" style="74" bestFit="1" customWidth="1"/>
    <col min="5" max="5" width="11" bestFit="1" customWidth="1"/>
    <col min="6" max="6" width="11.5546875" bestFit="1" customWidth="1"/>
  </cols>
  <sheetData>
    <row r="3" spans="2:6">
      <c r="B3" s="179" t="s">
        <v>179</v>
      </c>
    </row>
    <row r="5" spans="2:6">
      <c r="B5" s="177" t="s">
        <v>156</v>
      </c>
      <c r="C5" t="s">
        <v>157</v>
      </c>
    </row>
    <row r="6" spans="2:6">
      <c r="B6" t="s">
        <v>158</v>
      </c>
      <c r="C6" s="74">
        <f>bc!H10</f>
        <v>2536.241567</v>
      </c>
      <c r="D6" s="74">
        <f>C6*1000000</f>
        <v>2536241567</v>
      </c>
      <c r="E6" s="74"/>
    </row>
    <row r="7" spans="2:6">
      <c r="B7" t="s">
        <v>159</v>
      </c>
      <c r="C7" s="74">
        <f>bc!H24</f>
        <v>326.446934</v>
      </c>
      <c r="D7" s="74">
        <f t="shared" ref="D7:D8" si="0">C7*1000000</f>
        <v>326446934</v>
      </c>
      <c r="E7" s="74"/>
    </row>
    <row r="8" spans="2:6">
      <c r="B8" t="s">
        <v>160</v>
      </c>
      <c r="C8" s="74">
        <f>bc!H27</f>
        <v>145.14622199999997</v>
      </c>
      <c r="D8" s="74">
        <f t="shared" si="0"/>
        <v>145146221.99999997</v>
      </c>
      <c r="E8" s="74"/>
    </row>
    <row r="9" spans="2:6" s="177" customFormat="1">
      <c r="B9" s="177" t="s">
        <v>161</v>
      </c>
      <c r="C9" s="75"/>
      <c r="D9" s="75">
        <f>SUM(D6:D8)</f>
        <v>3007834723</v>
      </c>
      <c r="E9" s="75"/>
    </row>
    <row r="10" spans="2:6">
      <c r="B10" t="s">
        <v>162</v>
      </c>
      <c r="C10" t="e">
        <f>#REF!</f>
        <v>#REF!</v>
      </c>
      <c r="D10" s="77" t="e">
        <f>C10*1000000</f>
        <v>#REF!</v>
      </c>
      <c r="E10">
        <v>1598614641</v>
      </c>
      <c r="F10" s="109" t="e">
        <f>D10-E10</f>
        <v>#REF!</v>
      </c>
    </row>
    <row r="11" spans="2:6">
      <c r="B11" t="s">
        <v>163</v>
      </c>
      <c r="D11" s="74" t="e">
        <f>D9-D10</f>
        <v>#REF!</v>
      </c>
      <c r="E11" t="s">
        <v>178</v>
      </c>
    </row>
    <row r="14" spans="2:6">
      <c r="B14" s="177" t="s">
        <v>164</v>
      </c>
    </row>
    <row r="15" spans="2:6">
      <c r="B15" t="s">
        <v>165</v>
      </c>
      <c r="D15" s="74">
        <v>548495739</v>
      </c>
    </row>
    <row r="16" spans="2:6">
      <c r="B16" t="s">
        <v>166</v>
      </c>
    </row>
    <row r="19" spans="2:4" ht="18">
      <c r="B19" t="s">
        <v>187</v>
      </c>
      <c r="C19" s="180">
        <v>217.63129000000001</v>
      </c>
      <c r="D19" s="74">
        <f>C19*1000000</f>
        <v>217631290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1"/>
  <sheetViews>
    <sheetView topLeftCell="H1" workbookViewId="0">
      <selection activeCell="T11" sqref="T11:T14"/>
    </sheetView>
  </sheetViews>
  <sheetFormatPr defaultColWidth="9.109375" defaultRowHeight="14.4"/>
  <cols>
    <col min="1" max="1" width="0.88671875" style="187" hidden="1" customWidth="1"/>
    <col min="2" max="2" width="3" style="187" customWidth="1"/>
    <col min="3" max="3" width="7.6640625" style="187" bestFit="1" customWidth="1"/>
    <col min="4" max="4" width="18.33203125" style="260" bestFit="1" customWidth="1"/>
    <col min="5" max="5" width="6.44140625" style="187" customWidth="1"/>
    <col min="6" max="6" width="6.88671875" style="187" bestFit="1" customWidth="1"/>
    <col min="7" max="8" width="6" style="187" customWidth="1"/>
    <col min="9" max="9" width="5.44140625" style="187" customWidth="1"/>
    <col min="10" max="10" width="6.33203125" style="187" customWidth="1"/>
    <col min="11" max="11" width="5.88671875" style="187" bestFit="1" customWidth="1"/>
    <col min="12" max="12" width="5.6640625" style="235" bestFit="1" customWidth="1"/>
    <col min="13" max="13" width="7.5546875" style="187" customWidth="1"/>
    <col min="14" max="14" width="12.6640625" style="187" bestFit="1" customWidth="1"/>
    <col min="15" max="16" width="11.44140625" style="187" customWidth="1"/>
    <col min="17" max="17" width="10.88671875" style="187" customWidth="1"/>
    <col min="18" max="18" width="9.6640625" style="187" customWidth="1"/>
    <col min="19" max="19" width="13.33203125" style="187" customWidth="1"/>
    <col min="20" max="20" width="20.88671875" style="187" customWidth="1"/>
    <col min="21" max="21" width="10.5546875" style="187" hidden="1" customWidth="1"/>
    <col min="22" max="22" width="13.88671875" style="187" hidden="1" customWidth="1"/>
    <col min="23" max="23" width="11.6640625" style="187" hidden="1" customWidth="1"/>
    <col min="24" max="24" width="10.44140625" style="187" hidden="1" customWidth="1"/>
    <col min="25" max="25" width="11.44140625" style="235" hidden="1" customWidth="1"/>
    <col min="26" max="26" width="7.44140625" style="178" customWidth="1"/>
    <col min="27" max="27" width="15.109375" style="187" customWidth="1"/>
    <col min="28" max="28" width="11.33203125" style="187" customWidth="1"/>
    <col min="29" max="30" width="18.5546875" style="187" customWidth="1"/>
    <col min="31" max="31" width="14.5546875" style="187" bestFit="1" customWidth="1"/>
    <col min="32" max="16384" width="9.109375" style="187"/>
  </cols>
  <sheetData>
    <row r="1" spans="2:31" ht="17.25" customHeight="1">
      <c r="B1" s="411" t="s">
        <v>233</v>
      </c>
      <c r="C1" s="411"/>
      <c r="D1" s="411"/>
      <c r="E1" s="411"/>
      <c r="F1" s="411"/>
      <c r="G1" s="411"/>
      <c r="H1" s="411"/>
      <c r="I1" s="178"/>
      <c r="J1" s="178"/>
      <c r="K1" s="178"/>
      <c r="L1" s="186"/>
      <c r="M1" s="178"/>
      <c r="N1" s="178"/>
      <c r="O1" s="178"/>
      <c r="P1" s="178"/>
      <c r="Q1" s="178"/>
      <c r="R1" s="178"/>
      <c r="S1" s="178"/>
      <c r="T1" s="178"/>
      <c r="U1" s="178"/>
      <c r="V1" s="178"/>
      <c r="W1" s="178"/>
      <c r="X1" s="178"/>
      <c r="Y1" s="186"/>
    </row>
    <row r="2" spans="2:31" ht="12.75" customHeight="1">
      <c r="B2" s="411" t="s">
        <v>234</v>
      </c>
      <c r="C2" s="411"/>
      <c r="D2" s="411"/>
      <c r="E2" s="411"/>
      <c r="F2" s="411"/>
      <c r="G2" s="411"/>
      <c r="H2" s="411"/>
      <c r="I2" s="178"/>
      <c r="J2" s="178"/>
      <c r="K2" s="178"/>
      <c r="L2" s="186"/>
      <c r="M2" s="178"/>
      <c r="N2" s="178"/>
      <c r="O2" s="178"/>
      <c r="P2" s="178"/>
      <c r="Q2" s="178"/>
      <c r="R2" s="178"/>
      <c r="S2" s="178"/>
      <c r="T2" s="178"/>
      <c r="U2" s="178"/>
      <c r="V2" s="178"/>
      <c r="W2" s="178"/>
      <c r="X2" s="178"/>
      <c r="Y2" s="186"/>
    </row>
    <row r="3" spans="2:31" ht="15" customHeight="1">
      <c r="B3" s="412" t="s">
        <v>235</v>
      </c>
      <c r="C3" s="412"/>
      <c r="D3" s="412"/>
      <c r="E3" s="412"/>
      <c r="F3" s="412"/>
      <c r="G3" s="412"/>
      <c r="H3" s="412"/>
      <c r="I3" s="412"/>
      <c r="J3" s="412"/>
      <c r="K3" s="412"/>
      <c r="L3" s="412"/>
      <c r="M3" s="412"/>
      <c r="N3" s="412"/>
      <c r="O3" s="412"/>
      <c r="P3" s="412"/>
      <c r="Q3" s="412"/>
      <c r="R3" s="412"/>
      <c r="S3" s="412"/>
      <c r="T3" s="412"/>
      <c r="U3" s="412"/>
      <c r="V3" s="412"/>
      <c r="W3" s="412"/>
      <c r="X3" s="412"/>
      <c r="Y3" s="412"/>
    </row>
    <row r="4" spans="2:31">
      <c r="B4" s="413" t="s">
        <v>236</v>
      </c>
      <c r="C4" s="413"/>
      <c r="D4" s="413"/>
      <c r="E4" s="413"/>
      <c r="F4" s="413"/>
      <c r="G4" s="413"/>
      <c r="H4" s="413"/>
      <c r="I4" s="413"/>
      <c r="J4" s="413"/>
      <c r="K4" s="413"/>
      <c r="L4" s="413"/>
      <c r="M4" s="413"/>
      <c r="N4" s="413"/>
      <c r="O4" s="413"/>
      <c r="P4" s="413"/>
      <c r="Q4" s="413"/>
      <c r="R4" s="413"/>
      <c r="S4" s="413"/>
      <c r="T4" s="413"/>
      <c r="U4" s="413"/>
      <c r="V4" s="413"/>
      <c r="W4" s="413"/>
      <c r="X4" s="413"/>
      <c r="Y4" s="413"/>
    </row>
    <row r="5" spans="2:31">
      <c r="B5" s="178"/>
      <c r="C5" s="178"/>
      <c r="D5" s="188"/>
      <c r="E5" s="178"/>
      <c r="F5" s="178"/>
      <c r="G5" s="178"/>
      <c r="H5" s="178"/>
      <c r="I5" s="178"/>
      <c r="J5" s="178"/>
      <c r="K5" s="178"/>
      <c r="L5" s="186"/>
      <c r="M5" s="178"/>
      <c r="N5" s="178"/>
      <c r="O5" s="178"/>
      <c r="P5" s="178"/>
      <c r="Q5" s="178"/>
      <c r="R5" s="178"/>
      <c r="S5" s="178"/>
      <c r="T5" s="178"/>
      <c r="U5" s="189" t="s">
        <v>237</v>
      </c>
      <c r="V5" s="178"/>
      <c r="W5" s="414" t="s">
        <v>238</v>
      </c>
      <c r="X5" s="414"/>
      <c r="Y5" s="414"/>
      <c r="Z5" s="414"/>
    </row>
    <row r="6" spans="2:31" s="190" customFormat="1" ht="12" customHeight="1">
      <c r="B6" s="430" t="s">
        <v>168</v>
      </c>
      <c r="C6" s="415" t="s">
        <v>239</v>
      </c>
      <c r="D6" s="415" t="s">
        <v>240</v>
      </c>
      <c r="E6" s="415" t="s">
        <v>241</v>
      </c>
      <c r="F6" s="420" t="s">
        <v>242</v>
      </c>
      <c r="G6" s="421"/>
      <c r="H6" s="421"/>
      <c r="I6" s="421"/>
      <c r="J6" s="421"/>
      <c r="K6" s="421"/>
      <c r="L6" s="421"/>
      <c r="M6" s="421"/>
      <c r="N6" s="422"/>
      <c r="O6" s="420" t="s">
        <v>243</v>
      </c>
      <c r="P6" s="421"/>
      <c r="Q6" s="421"/>
      <c r="R6" s="422"/>
      <c r="S6" s="415" t="s">
        <v>244</v>
      </c>
      <c r="T6" s="415" t="s">
        <v>245</v>
      </c>
      <c r="U6" s="420" t="s">
        <v>246</v>
      </c>
      <c r="V6" s="421"/>
      <c r="W6" s="421"/>
      <c r="X6" s="422"/>
      <c r="Y6" s="423" t="s">
        <v>247</v>
      </c>
      <c r="Z6" s="415" t="s">
        <v>248</v>
      </c>
    </row>
    <row r="7" spans="2:31" s="190" customFormat="1" ht="16.5" customHeight="1">
      <c r="B7" s="432"/>
      <c r="C7" s="416"/>
      <c r="D7" s="416"/>
      <c r="E7" s="416"/>
      <c r="F7" s="415" t="s">
        <v>249</v>
      </c>
      <c r="G7" s="415" t="s">
        <v>250</v>
      </c>
      <c r="H7" s="420" t="s">
        <v>251</v>
      </c>
      <c r="I7" s="421"/>
      <c r="J7" s="421"/>
      <c r="K7" s="421"/>
      <c r="L7" s="422"/>
      <c r="M7" s="415" t="s">
        <v>252</v>
      </c>
      <c r="N7" s="415" t="s">
        <v>253</v>
      </c>
      <c r="O7" s="430" t="s">
        <v>254</v>
      </c>
      <c r="P7" s="415" t="s">
        <v>255</v>
      </c>
      <c r="Q7" s="415" t="s">
        <v>256</v>
      </c>
      <c r="R7" s="415" t="s">
        <v>257</v>
      </c>
      <c r="S7" s="416"/>
      <c r="T7" s="416"/>
      <c r="U7" s="418" t="s">
        <v>258</v>
      </c>
      <c r="V7" s="418" t="s">
        <v>259</v>
      </c>
      <c r="W7" s="418" t="s">
        <v>257</v>
      </c>
      <c r="X7" s="430" t="s">
        <v>254</v>
      </c>
      <c r="Y7" s="424"/>
      <c r="Z7" s="416"/>
    </row>
    <row r="8" spans="2:31" s="193" customFormat="1" ht="48" customHeight="1">
      <c r="B8" s="431"/>
      <c r="C8" s="417"/>
      <c r="D8" s="417"/>
      <c r="E8" s="417"/>
      <c r="F8" s="417"/>
      <c r="G8" s="417"/>
      <c r="H8" s="191" t="s">
        <v>260</v>
      </c>
      <c r="I8" s="191" t="s">
        <v>261</v>
      </c>
      <c r="J8" s="191" t="s">
        <v>262</v>
      </c>
      <c r="K8" s="191" t="s">
        <v>263</v>
      </c>
      <c r="L8" s="192" t="s">
        <v>264</v>
      </c>
      <c r="M8" s="417"/>
      <c r="N8" s="417"/>
      <c r="O8" s="431"/>
      <c r="P8" s="417"/>
      <c r="Q8" s="417"/>
      <c r="R8" s="417"/>
      <c r="S8" s="417"/>
      <c r="T8" s="417"/>
      <c r="U8" s="419"/>
      <c r="V8" s="419"/>
      <c r="W8" s="419"/>
      <c r="X8" s="431"/>
      <c r="Y8" s="425"/>
      <c r="Z8" s="417"/>
    </row>
    <row r="9" spans="2:31">
      <c r="B9" s="194" t="s">
        <v>8</v>
      </c>
      <c r="C9" s="194" t="s">
        <v>10</v>
      </c>
      <c r="D9" s="194" t="s">
        <v>175</v>
      </c>
      <c r="E9" s="194" t="s">
        <v>176</v>
      </c>
      <c r="F9" s="194">
        <v>1</v>
      </c>
      <c r="G9" s="194">
        <v>2</v>
      </c>
      <c r="H9" s="194">
        <v>3</v>
      </c>
      <c r="I9" s="194">
        <v>4</v>
      </c>
      <c r="J9" s="194"/>
      <c r="K9" s="195">
        <v>5</v>
      </c>
      <c r="L9" s="196"/>
      <c r="M9" s="194">
        <v>6</v>
      </c>
      <c r="N9" s="194">
        <v>7</v>
      </c>
      <c r="O9" s="194"/>
      <c r="P9" s="194"/>
      <c r="Q9" s="194">
        <v>8</v>
      </c>
      <c r="R9" s="194">
        <v>9</v>
      </c>
      <c r="S9" s="194" t="s">
        <v>265</v>
      </c>
      <c r="T9" s="194"/>
      <c r="U9" s="194">
        <v>11</v>
      </c>
      <c r="V9" s="194">
        <v>12</v>
      </c>
      <c r="W9" s="194">
        <v>13</v>
      </c>
      <c r="X9" s="194">
        <v>14</v>
      </c>
      <c r="Y9" s="197" t="s">
        <v>266</v>
      </c>
      <c r="Z9" s="198">
        <v>16</v>
      </c>
      <c r="AB9" s="199"/>
    </row>
    <row r="10" spans="2:31" s="206" customFormat="1">
      <c r="B10" s="200" t="s">
        <v>12</v>
      </c>
      <c r="C10" s="201" t="s">
        <v>267</v>
      </c>
      <c r="D10" s="200"/>
      <c r="E10" s="200"/>
      <c r="F10" s="202">
        <f t="shared" ref="F10:M10" si="0">SUM(F11:F16)</f>
        <v>18.39</v>
      </c>
      <c r="G10" s="202">
        <f t="shared" si="0"/>
        <v>0.2</v>
      </c>
      <c r="H10" s="202">
        <f t="shared" si="0"/>
        <v>0.60000000000000009</v>
      </c>
      <c r="I10" s="202">
        <f t="shared" si="0"/>
        <v>0</v>
      </c>
      <c r="J10" s="202">
        <f t="shared" si="0"/>
        <v>0</v>
      </c>
      <c r="K10" s="202">
        <f t="shared" si="0"/>
        <v>0.4995</v>
      </c>
      <c r="L10" s="202">
        <f t="shared" si="0"/>
        <v>0</v>
      </c>
      <c r="M10" s="202">
        <f t="shared" si="0"/>
        <v>19.689500000000002</v>
      </c>
      <c r="N10" s="203">
        <f>SUM(N11:N16)</f>
        <v>46073430</v>
      </c>
      <c r="O10" s="203">
        <f t="shared" ref="O10:T10" si="1">SUM(O11:O16)</f>
        <v>6998121</v>
      </c>
      <c r="P10" s="203">
        <f t="shared" si="1"/>
        <v>5696145</v>
      </c>
      <c r="Q10" s="203">
        <f t="shared" si="1"/>
        <v>976482</v>
      </c>
      <c r="R10" s="203">
        <f t="shared" si="1"/>
        <v>325494</v>
      </c>
      <c r="S10" s="203">
        <f t="shared" si="1"/>
        <v>53071551</v>
      </c>
      <c r="T10" s="203">
        <f t="shared" si="1"/>
        <v>318429306</v>
      </c>
      <c r="U10" s="200"/>
      <c r="V10" s="200"/>
      <c r="W10" s="200"/>
      <c r="X10" s="200"/>
      <c r="Y10" s="204"/>
      <c r="Z10" s="205"/>
      <c r="AB10" s="207"/>
    </row>
    <row r="11" spans="2:31" ht="17.25" customHeight="1">
      <c r="B11" s="208">
        <v>1</v>
      </c>
      <c r="C11" s="209" t="s">
        <v>268</v>
      </c>
      <c r="D11" s="210" t="s">
        <v>269</v>
      </c>
      <c r="E11" s="211" t="s">
        <v>270</v>
      </c>
      <c r="F11" s="212">
        <v>3.99</v>
      </c>
      <c r="G11" s="213">
        <v>0.2</v>
      </c>
      <c r="H11" s="213">
        <v>0.2</v>
      </c>
      <c r="I11" s="213"/>
      <c r="J11" s="214"/>
      <c r="K11" s="214"/>
      <c r="L11" s="213"/>
      <c r="M11" s="214">
        <f>SUM(F11:L11)</f>
        <v>4.3900000000000006</v>
      </c>
      <c r="N11" s="215">
        <f>M11*2340000</f>
        <v>10272600.000000002</v>
      </c>
      <c r="O11" s="215">
        <f>P11+Q11+R11</f>
        <v>2107989</v>
      </c>
      <c r="P11" s="215">
        <f>(F11+G11)*2340000*17.5%</f>
        <v>1715805</v>
      </c>
      <c r="Q11" s="215">
        <f>(F11+G11)*2340000*3%</f>
        <v>294138</v>
      </c>
      <c r="R11" s="215">
        <f>(F11+G11)*2340000*1%</f>
        <v>98046</v>
      </c>
      <c r="S11" s="215">
        <f>N11+O11</f>
        <v>12380589.000000002</v>
      </c>
      <c r="T11" s="215">
        <f>S11*6</f>
        <v>74283534.000000015</v>
      </c>
      <c r="U11" s="216">
        <f t="shared" ref="U11:U16" si="2">(F11+G11+I11)*2340000*8%</f>
        <v>784368</v>
      </c>
      <c r="V11" s="216">
        <f t="shared" ref="V11:V16" si="3">(F11+G11+I11)*2340000*1.5%</f>
        <v>147069</v>
      </c>
      <c r="W11" s="217">
        <f t="shared" ref="W11:W16" si="4">(F11+G11+I11)*1%*2340000</f>
        <v>98046.000000000015</v>
      </c>
      <c r="X11" s="215">
        <f>U11+V11+W11</f>
        <v>1029483</v>
      </c>
      <c r="Y11" s="218">
        <f>ROUND(N11-X11,0)</f>
        <v>9243117</v>
      </c>
      <c r="Z11" s="219"/>
      <c r="AA11" s="220"/>
      <c r="AB11" s="221"/>
      <c r="AC11" s="222"/>
      <c r="AD11" s="222"/>
      <c r="AE11" s="221"/>
    </row>
    <row r="12" spans="2:31" s="229" customFormat="1" ht="17.25" customHeight="1">
      <c r="B12" s="223" t="s">
        <v>271</v>
      </c>
      <c r="C12" s="224" t="s">
        <v>272</v>
      </c>
      <c r="D12" s="210" t="s">
        <v>273</v>
      </c>
      <c r="E12" s="211" t="s">
        <v>274</v>
      </c>
      <c r="F12" s="212">
        <v>3.33</v>
      </c>
      <c r="G12" s="213"/>
      <c r="H12" s="213">
        <v>0.2</v>
      </c>
      <c r="I12" s="213"/>
      <c r="J12" s="213"/>
      <c r="K12" s="225">
        <f>(F12+G12+I12)*0.15</f>
        <v>0.4995</v>
      </c>
      <c r="L12" s="213"/>
      <c r="M12" s="213">
        <f t="shared" ref="M12:M16" si="5">SUM(F12:L12)</f>
        <v>4.0295000000000005</v>
      </c>
      <c r="N12" s="226">
        <f t="shared" ref="N12:N14" si="6">M12*2340000</f>
        <v>9429030.0000000019</v>
      </c>
      <c r="O12" s="215">
        <f t="shared" ref="O12:O14" si="7">P12+Q12+R12</f>
        <v>1675323</v>
      </c>
      <c r="P12" s="215">
        <f t="shared" ref="P12:P14" si="8">(F12+G12)*2340000*17.5%</f>
        <v>1363635</v>
      </c>
      <c r="Q12" s="215">
        <f t="shared" ref="Q12:Q14" si="9">(F12+G12)*2340000*3%</f>
        <v>233766</v>
      </c>
      <c r="R12" s="215">
        <f t="shared" ref="R12:R14" si="10">(F12+G12)*2340000*1%</f>
        <v>77922</v>
      </c>
      <c r="S12" s="215">
        <f t="shared" ref="S12:S16" si="11">N12+O12</f>
        <v>11104353.000000002</v>
      </c>
      <c r="T12" s="215">
        <f t="shared" ref="T12:T16" si="12">S12*6</f>
        <v>66626118.000000015</v>
      </c>
      <c r="U12" s="216">
        <f t="shared" si="2"/>
        <v>623376</v>
      </c>
      <c r="V12" s="217">
        <f t="shared" si="3"/>
        <v>116883</v>
      </c>
      <c r="W12" s="217">
        <f t="shared" si="4"/>
        <v>77922.000000000015</v>
      </c>
      <c r="X12" s="215">
        <f t="shared" ref="X12:X14" si="13">U12+V12+W12</f>
        <v>818181</v>
      </c>
      <c r="Y12" s="218">
        <f>ROUND(N12-X12,0)</f>
        <v>8610849</v>
      </c>
      <c r="Z12" s="227"/>
      <c r="AA12" s="220"/>
      <c r="AB12" s="228"/>
      <c r="AC12" s="222"/>
      <c r="AD12" s="222"/>
      <c r="AE12" s="228"/>
    </row>
    <row r="13" spans="2:31" s="235" customFormat="1" ht="17.25" customHeight="1">
      <c r="B13" s="223" t="s">
        <v>212</v>
      </c>
      <c r="C13" s="230" t="s">
        <v>268</v>
      </c>
      <c r="D13" s="224" t="s">
        <v>275</v>
      </c>
      <c r="E13" s="223" t="s">
        <v>276</v>
      </c>
      <c r="F13" s="212">
        <v>3.66</v>
      </c>
      <c r="G13" s="223"/>
      <c r="H13" s="231">
        <v>0.2</v>
      </c>
      <c r="I13" s="223"/>
      <c r="J13" s="223"/>
      <c r="K13" s="223"/>
      <c r="L13" s="223"/>
      <c r="M13" s="213">
        <f t="shared" si="5"/>
        <v>3.8600000000000003</v>
      </c>
      <c r="N13" s="226">
        <f t="shared" si="6"/>
        <v>9032400</v>
      </c>
      <c r="O13" s="215">
        <f t="shared" si="7"/>
        <v>1841346</v>
      </c>
      <c r="P13" s="215">
        <f t="shared" si="8"/>
        <v>1498770</v>
      </c>
      <c r="Q13" s="215">
        <f t="shared" si="9"/>
        <v>256932</v>
      </c>
      <c r="R13" s="215">
        <f t="shared" si="10"/>
        <v>85644</v>
      </c>
      <c r="S13" s="215">
        <f t="shared" si="11"/>
        <v>10873746</v>
      </c>
      <c r="T13" s="215">
        <f t="shared" si="12"/>
        <v>65242476</v>
      </c>
      <c r="U13" s="216">
        <f t="shared" si="2"/>
        <v>685152</v>
      </c>
      <c r="V13" s="217">
        <f t="shared" si="3"/>
        <v>128466</v>
      </c>
      <c r="W13" s="217">
        <f t="shared" si="4"/>
        <v>85644</v>
      </c>
      <c r="X13" s="226">
        <f t="shared" si="13"/>
        <v>899262</v>
      </c>
      <c r="Y13" s="232">
        <f>ROUND(N13-X13,0)</f>
        <v>8133138</v>
      </c>
      <c r="Z13" s="227"/>
      <c r="AA13" s="220"/>
      <c r="AB13" s="233"/>
      <c r="AC13" s="222"/>
      <c r="AD13" s="222"/>
      <c r="AE13" s="234"/>
    </row>
    <row r="14" spans="2:31" s="235" customFormat="1" ht="17.25" customHeight="1">
      <c r="B14" s="223" t="s">
        <v>213</v>
      </c>
      <c r="C14" s="230"/>
      <c r="D14" s="224" t="s">
        <v>277</v>
      </c>
      <c r="E14" s="223" t="s">
        <v>278</v>
      </c>
      <c r="F14" s="212">
        <v>2.73</v>
      </c>
      <c r="G14" s="223"/>
      <c r="H14" s="231"/>
      <c r="I14" s="223"/>
      <c r="J14" s="223"/>
      <c r="K14" s="223"/>
      <c r="L14" s="223"/>
      <c r="M14" s="213">
        <f t="shared" si="5"/>
        <v>2.73</v>
      </c>
      <c r="N14" s="226">
        <f t="shared" si="6"/>
        <v>6388200</v>
      </c>
      <c r="O14" s="215">
        <f t="shared" si="7"/>
        <v>1373463</v>
      </c>
      <c r="P14" s="215">
        <f t="shared" si="8"/>
        <v>1117935</v>
      </c>
      <c r="Q14" s="215">
        <f t="shared" si="9"/>
        <v>191646</v>
      </c>
      <c r="R14" s="215">
        <f t="shared" si="10"/>
        <v>63882</v>
      </c>
      <c r="S14" s="215">
        <f t="shared" si="11"/>
        <v>7761663</v>
      </c>
      <c r="T14" s="215">
        <f t="shared" si="12"/>
        <v>46569978</v>
      </c>
      <c r="U14" s="216">
        <f t="shared" si="2"/>
        <v>511056</v>
      </c>
      <c r="V14" s="217">
        <f t="shared" si="3"/>
        <v>95823</v>
      </c>
      <c r="W14" s="217">
        <f t="shared" si="4"/>
        <v>63882</v>
      </c>
      <c r="X14" s="226">
        <f t="shared" si="13"/>
        <v>670761</v>
      </c>
      <c r="Y14" s="232">
        <f>ROUND(N14-X14,0)</f>
        <v>5717439</v>
      </c>
      <c r="Z14" s="227"/>
      <c r="AA14" s="220"/>
      <c r="AB14" s="233"/>
      <c r="AC14" s="222"/>
      <c r="AD14" s="222"/>
      <c r="AE14" s="234"/>
    </row>
    <row r="15" spans="2:31" s="235" customFormat="1" ht="17.25" customHeight="1">
      <c r="B15" s="223" t="s">
        <v>214</v>
      </c>
      <c r="C15" s="230"/>
      <c r="D15" s="224" t="s">
        <v>279</v>
      </c>
      <c r="E15" s="223" t="s">
        <v>280</v>
      </c>
      <c r="F15" s="212">
        <v>2.34</v>
      </c>
      <c r="G15" s="223"/>
      <c r="H15" s="231"/>
      <c r="I15" s="223"/>
      <c r="J15" s="223"/>
      <c r="K15" s="223"/>
      <c r="L15" s="223"/>
      <c r="M15" s="213">
        <f t="shared" si="5"/>
        <v>2.34</v>
      </c>
      <c r="N15" s="226">
        <f>2.34*2340000</f>
        <v>5475600</v>
      </c>
      <c r="O15" s="226"/>
      <c r="P15" s="226"/>
      <c r="Q15" s="226"/>
      <c r="R15" s="226"/>
      <c r="S15" s="215">
        <f t="shared" si="11"/>
        <v>5475600</v>
      </c>
      <c r="T15" s="215">
        <f t="shared" si="12"/>
        <v>32853600</v>
      </c>
      <c r="U15" s="216">
        <f t="shared" si="2"/>
        <v>438048</v>
      </c>
      <c r="V15" s="217">
        <f t="shared" si="3"/>
        <v>82134</v>
      </c>
      <c r="W15" s="217">
        <f t="shared" si="4"/>
        <v>54756</v>
      </c>
      <c r="X15" s="226"/>
      <c r="Y15" s="232"/>
      <c r="Z15" s="227"/>
      <c r="AA15" s="220"/>
      <c r="AB15" s="233"/>
      <c r="AC15" s="222"/>
      <c r="AD15" s="222"/>
      <c r="AE15" s="234"/>
    </row>
    <row r="16" spans="2:31" s="235" customFormat="1" ht="17.25" customHeight="1">
      <c r="B16" s="223" t="s">
        <v>215</v>
      </c>
      <c r="C16" s="230"/>
      <c r="D16" s="224" t="s">
        <v>281</v>
      </c>
      <c r="E16" s="223" t="s">
        <v>280</v>
      </c>
      <c r="F16" s="212">
        <v>2.34</v>
      </c>
      <c r="G16" s="223"/>
      <c r="H16" s="231"/>
      <c r="I16" s="223"/>
      <c r="J16" s="223"/>
      <c r="K16" s="223"/>
      <c r="L16" s="223"/>
      <c r="M16" s="213">
        <f t="shared" si="5"/>
        <v>2.34</v>
      </c>
      <c r="N16" s="226">
        <f>2.34*2340000</f>
        <v>5475600</v>
      </c>
      <c r="O16" s="226"/>
      <c r="P16" s="226"/>
      <c r="Q16" s="226"/>
      <c r="R16" s="226"/>
      <c r="S16" s="215">
        <f t="shared" si="11"/>
        <v>5475600</v>
      </c>
      <c r="T16" s="215">
        <f t="shared" si="12"/>
        <v>32853600</v>
      </c>
      <c r="U16" s="216">
        <f t="shared" si="2"/>
        <v>438048</v>
      </c>
      <c r="V16" s="217">
        <f t="shared" si="3"/>
        <v>82134</v>
      </c>
      <c r="W16" s="217">
        <f t="shared" si="4"/>
        <v>54756</v>
      </c>
      <c r="X16" s="226"/>
      <c r="Y16" s="232"/>
      <c r="Z16" s="227"/>
      <c r="AA16" s="220"/>
      <c r="AB16" s="233"/>
      <c r="AC16" s="222"/>
      <c r="AD16" s="222"/>
      <c r="AE16" s="234"/>
    </row>
    <row r="17" spans="2:31" s="249" customFormat="1" ht="79.5" customHeight="1">
      <c r="B17" s="236" t="s">
        <v>38</v>
      </c>
      <c r="C17" s="426" t="s">
        <v>282</v>
      </c>
      <c r="D17" s="427"/>
      <c r="E17" s="237"/>
      <c r="F17" s="238"/>
      <c r="G17" s="237"/>
      <c r="H17" s="239"/>
      <c r="I17" s="237"/>
      <c r="J17" s="237"/>
      <c r="K17" s="237"/>
      <c r="L17" s="237"/>
      <c r="M17" s="240"/>
      <c r="N17" s="241"/>
      <c r="O17" s="241"/>
      <c r="P17" s="241"/>
      <c r="Q17" s="241"/>
      <c r="R17" s="241"/>
      <c r="S17" s="241"/>
      <c r="T17" s="241">
        <f>0.5*33000000*5</f>
        <v>82500000</v>
      </c>
      <c r="U17" s="242"/>
      <c r="V17" s="242"/>
      <c r="W17" s="242"/>
      <c r="X17" s="241"/>
      <c r="Y17" s="243"/>
      <c r="Z17" s="244"/>
      <c r="AA17" s="245"/>
      <c r="AB17" s="246"/>
      <c r="AC17" s="247"/>
      <c r="AD17" s="247"/>
      <c r="AE17" s="248"/>
    </row>
    <row r="18" spans="2:31" s="206" customFormat="1" ht="17.25" customHeight="1">
      <c r="B18" s="250"/>
      <c r="C18" s="250"/>
      <c r="D18" s="200" t="s">
        <v>254</v>
      </c>
      <c r="E18" s="200"/>
      <c r="F18" s="251"/>
      <c r="G18" s="252"/>
      <c r="H18" s="253"/>
      <c r="I18" s="252"/>
      <c r="J18" s="252"/>
      <c r="K18" s="252"/>
      <c r="L18" s="254"/>
      <c r="M18" s="252"/>
      <c r="N18" s="255"/>
      <c r="O18" s="255"/>
      <c r="P18" s="255"/>
      <c r="Q18" s="255"/>
      <c r="R18" s="255"/>
      <c r="S18" s="255"/>
      <c r="T18" s="256">
        <f t="shared" ref="T18" si="14">T10+T17</f>
        <v>400929306</v>
      </c>
      <c r="U18" s="255">
        <f>SUM(U11:U16)</f>
        <v>3480048</v>
      </c>
      <c r="V18" s="255">
        <f>SUM(V11:V16)</f>
        <v>652509</v>
      </c>
      <c r="W18" s="255">
        <f>SUM(W11:W16)</f>
        <v>435006</v>
      </c>
      <c r="X18" s="255">
        <f>SUM(X11:X14)</f>
        <v>3417687</v>
      </c>
      <c r="Y18" s="255">
        <f>SUM(Y11:Y16)</f>
        <v>31704543</v>
      </c>
      <c r="Z18" s="257"/>
      <c r="AA18" s="258"/>
      <c r="AB18" s="258"/>
      <c r="AC18" s="259"/>
      <c r="AD18" s="259"/>
      <c r="AE18" s="259"/>
    </row>
    <row r="19" spans="2:31" ht="2.4" customHeight="1">
      <c r="AA19" s="221"/>
      <c r="AC19" s="221"/>
      <c r="AD19" s="221"/>
      <c r="AE19" s="261"/>
    </row>
    <row r="20" spans="2:31">
      <c r="B20" s="428" t="s">
        <v>283</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262"/>
      <c r="AA20" s="221"/>
      <c r="AB20" s="259"/>
      <c r="AE20" s="261"/>
    </row>
    <row r="21" spans="2:31" ht="12.75" customHeight="1">
      <c r="B21" s="263"/>
      <c r="C21" s="263"/>
      <c r="K21" s="190"/>
      <c r="L21" s="264"/>
      <c r="M21" s="190"/>
      <c r="N21" s="190"/>
      <c r="O21" s="190"/>
      <c r="P21" s="190"/>
      <c r="Q21" s="190"/>
      <c r="R21" s="190"/>
      <c r="S21" s="190"/>
      <c r="T21" s="190"/>
      <c r="U21" s="429" t="s">
        <v>284</v>
      </c>
      <c r="V21" s="429"/>
      <c r="W21" s="429"/>
      <c r="X21" s="429"/>
      <c r="Y21" s="429"/>
      <c r="AA21" s="221"/>
    </row>
    <row r="22" spans="2:31">
      <c r="B22" s="265"/>
      <c r="C22" s="266"/>
      <c r="D22" s="267"/>
      <c r="E22" s="268"/>
      <c r="F22" s="269"/>
      <c r="K22" s="433"/>
      <c r="L22" s="433"/>
      <c r="M22" s="433"/>
      <c r="N22" s="433"/>
      <c r="O22" s="270"/>
      <c r="P22" s="270"/>
      <c r="Q22" s="271"/>
      <c r="R22" s="271"/>
      <c r="S22" s="271"/>
      <c r="T22" s="271"/>
      <c r="U22" s="412" t="s">
        <v>177</v>
      </c>
      <c r="V22" s="412"/>
      <c r="W22" s="412"/>
      <c r="X22" s="412"/>
      <c r="Y22" s="412"/>
      <c r="AA22" s="233"/>
      <c r="AB22" s="221"/>
      <c r="AC22" s="221"/>
      <c r="AD22" s="221"/>
    </row>
    <row r="23" spans="2:31" ht="14.25" customHeight="1">
      <c r="B23" s="272"/>
      <c r="C23" s="266"/>
      <c r="D23" s="267"/>
      <c r="E23" s="268"/>
      <c r="F23" s="273"/>
      <c r="K23" s="270"/>
      <c r="L23" s="270"/>
      <c r="M23" s="270"/>
      <c r="N23" s="270"/>
      <c r="O23" s="270"/>
      <c r="P23" s="270"/>
      <c r="Q23" s="271"/>
      <c r="R23" s="271"/>
      <c r="S23" s="271"/>
      <c r="T23" s="271"/>
      <c r="U23" s="274"/>
      <c r="V23" s="274"/>
      <c r="W23" s="274"/>
      <c r="X23" s="274"/>
      <c r="Y23" s="274"/>
      <c r="AA23" s="221"/>
      <c r="AB23" s="221"/>
    </row>
    <row r="24" spans="2:31" ht="14.25" customHeight="1">
      <c r="B24" s="272"/>
      <c r="C24" s="266"/>
      <c r="D24" s="267"/>
      <c r="E24" s="275"/>
      <c r="F24" s="276"/>
      <c r="K24" s="270"/>
      <c r="L24" s="270"/>
      <c r="M24" s="270"/>
      <c r="N24" s="270"/>
      <c r="O24" s="270"/>
      <c r="P24" s="270"/>
      <c r="Q24" s="271"/>
      <c r="R24" s="271"/>
      <c r="S24" s="271"/>
      <c r="T24" s="271"/>
      <c r="U24" s="274"/>
      <c r="V24" s="274"/>
      <c r="W24" s="274"/>
      <c r="X24" s="274"/>
      <c r="Y24" s="274"/>
      <c r="Z24" s="187"/>
      <c r="AA24" s="221"/>
      <c r="AB24" s="221"/>
    </row>
    <row r="25" spans="2:31">
      <c r="B25" s="272"/>
      <c r="C25" s="266"/>
      <c r="D25" s="267"/>
      <c r="E25" s="277"/>
      <c r="K25" s="270"/>
      <c r="L25" s="270"/>
      <c r="M25" s="270"/>
      <c r="N25" s="270"/>
      <c r="O25" s="270"/>
      <c r="P25" s="270"/>
      <c r="Q25" s="271"/>
      <c r="R25" s="271"/>
      <c r="S25" s="271"/>
      <c r="T25" s="271"/>
      <c r="U25" s="274"/>
      <c r="V25" s="274"/>
      <c r="W25" s="274"/>
      <c r="X25" s="274"/>
      <c r="Y25" s="274"/>
      <c r="Z25" s="187"/>
      <c r="AA25" s="221"/>
      <c r="AB25" s="221"/>
      <c r="AC25" s="176"/>
      <c r="AD25" s="176"/>
    </row>
    <row r="26" spans="2:31">
      <c r="B26" s="272"/>
      <c r="C26" s="266"/>
      <c r="D26" s="267"/>
      <c r="E26" s="277"/>
      <c r="K26" s="270"/>
      <c r="L26" s="270"/>
      <c r="M26" s="270"/>
      <c r="N26" s="270"/>
      <c r="O26" s="270"/>
      <c r="P26" s="270"/>
      <c r="Q26" s="271"/>
      <c r="R26" s="271"/>
      <c r="S26" s="271"/>
      <c r="T26" s="271"/>
      <c r="U26" s="274"/>
      <c r="V26" s="274"/>
      <c r="W26" s="274"/>
      <c r="X26" s="274"/>
      <c r="Y26" s="274"/>
      <c r="Z26" s="187"/>
      <c r="AA26" s="221"/>
      <c r="AB26" s="221"/>
    </row>
    <row r="27" spans="2:31">
      <c r="B27" s="272"/>
      <c r="C27" s="266"/>
      <c r="D27" s="267"/>
      <c r="E27" s="277"/>
      <c r="K27" s="270"/>
      <c r="L27" s="270"/>
      <c r="M27" s="270"/>
      <c r="N27" s="270"/>
      <c r="O27" s="270"/>
      <c r="P27" s="270"/>
      <c r="Q27" s="271"/>
      <c r="R27" s="271"/>
      <c r="S27" s="271"/>
      <c r="T27" s="271"/>
      <c r="U27" s="274"/>
      <c r="V27" s="274"/>
      <c r="W27" s="274"/>
      <c r="X27" s="274"/>
      <c r="Y27" s="274"/>
      <c r="Z27" s="187"/>
      <c r="AA27" s="221"/>
      <c r="AB27" s="221"/>
    </row>
    <row r="28" spans="2:31">
      <c r="B28" s="278"/>
      <c r="C28" s="279"/>
      <c r="D28" s="280"/>
      <c r="K28" s="433"/>
      <c r="L28" s="433"/>
      <c r="M28" s="433"/>
      <c r="N28" s="433"/>
      <c r="O28" s="270"/>
      <c r="P28" s="270"/>
      <c r="Q28" s="271"/>
      <c r="R28" s="271"/>
      <c r="S28" s="271"/>
      <c r="T28" s="271"/>
      <c r="U28" s="412" t="s">
        <v>269</v>
      </c>
      <c r="V28" s="412"/>
      <c r="W28" s="412"/>
      <c r="X28" s="412"/>
      <c r="Y28" s="412"/>
      <c r="Z28" s="187"/>
      <c r="AA28" s="281"/>
      <c r="AB28" s="281"/>
      <c r="AE28" s="74"/>
    </row>
    <row r="29" spans="2:31">
      <c r="B29" s="265"/>
      <c r="C29" s="272"/>
      <c r="D29" s="282"/>
      <c r="Z29" s="187"/>
      <c r="AA29" s="283"/>
      <c r="AB29" s="283"/>
      <c r="AE29" s="74"/>
    </row>
    <row r="30" spans="2:31">
      <c r="B30" s="284"/>
      <c r="C30" s="275"/>
      <c r="D30" s="285"/>
      <c r="Z30" s="187"/>
      <c r="AA30" s="283"/>
      <c r="AB30" s="283"/>
      <c r="AE30" s="74"/>
    </row>
    <row r="31" spans="2:31">
      <c r="B31" s="284"/>
      <c r="C31" s="275"/>
      <c r="D31" s="285"/>
      <c r="Z31" s="187"/>
      <c r="AA31" s="283"/>
      <c r="AB31" s="283"/>
      <c r="AE31" s="74"/>
    </row>
  </sheetData>
  <mergeCells count="36">
    <mergeCell ref="K22:N22"/>
    <mergeCell ref="U22:Y22"/>
    <mergeCell ref="K28:N28"/>
    <mergeCell ref="U28:Y28"/>
    <mergeCell ref="V7:V8"/>
    <mergeCell ref="W7:W8"/>
    <mergeCell ref="X7:X8"/>
    <mergeCell ref="C17:D17"/>
    <mergeCell ref="B20:Y20"/>
    <mergeCell ref="U21:Y21"/>
    <mergeCell ref="F7:F8"/>
    <mergeCell ref="G7:G8"/>
    <mergeCell ref="H7:L7"/>
    <mergeCell ref="M7:M8"/>
    <mergeCell ref="N7:N8"/>
    <mergeCell ref="O7:O8"/>
    <mergeCell ref="B6:B8"/>
    <mergeCell ref="C6:C8"/>
    <mergeCell ref="D6:D8"/>
    <mergeCell ref="E6:E8"/>
    <mergeCell ref="F6:N6"/>
    <mergeCell ref="Z6:Z8"/>
    <mergeCell ref="P7:P8"/>
    <mergeCell ref="Q7:Q8"/>
    <mergeCell ref="R7:R8"/>
    <mergeCell ref="U7:U8"/>
    <mergeCell ref="O6:R6"/>
    <mergeCell ref="S6:S8"/>
    <mergeCell ref="T6:T8"/>
    <mergeCell ref="U6:X6"/>
    <mergeCell ref="Y6:Y8"/>
    <mergeCell ref="B1:H1"/>
    <mergeCell ref="B2:H2"/>
    <mergeCell ref="B3:Y3"/>
    <mergeCell ref="B4:Y4"/>
    <mergeCell ref="W5:Z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31"/>
  <sheetViews>
    <sheetView topLeftCell="A17" workbookViewId="0">
      <selection activeCell="N27" sqref="N27"/>
    </sheetView>
  </sheetViews>
  <sheetFormatPr defaultRowHeight="14.4"/>
  <cols>
    <col min="1" max="1" width="2.6640625" customWidth="1"/>
    <col min="2" max="2" width="17" customWidth="1"/>
    <col min="4" max="4" width="6.88671875" customWidth="1"/>
    <col min="5" max="5" width="7.109375" customWidth="1"/>
    <col min="6" max="6" width="6" customWidth="1"/>
    <col min="7" max="7" width="6.6640625" customWidth="1"/>
    <col min="8" max="8" width="7.109375" customWidth="1"/>
    <col min="9" max="9" width="5" customWidth="1"/>
    <col min="10" max="10" width="5.109375" customWidth="1"/>
    <col min="11" max="11" width="6.5546875" customWidth="1"/>
    <col min="12" max="12" width="6.109375" customWidth="1"/>
    <col min="13" max="13" width="5.88671875" customWidth="1"/>
    <col min="14" max="14" width="6.5546875" customWidth="1"/>
    <col min="15" max="16" width="6.88671875" customWidth="1"/>
    <col min="17" max="17" width="5.5546875" customWidth="1"/>
    <col min="18" max="18" width="5.88671875" customWidth="1"/>
    <col min="19" max="19" width="5.33203125" customWidth="1"/>
    <col min="20" max="20" width="5.109375" customWidth="1"/>
    <col min="21" max="21" width="6.109375" customWidth="1"/>
    <col min="22" max="22" width="4.88671875" customWidth="1"/>
    <col min="23" max="23" width="5.109375" customWidth="1"/>
    <col min="24" max="24" width="5.33203125" customWidth="1"/>
    <col min="25" max="25" width="8.5546875" customWidth="1"/>
    <col min="26" max="26" width="6.109375" customWidth="1"/>
    <col min="27" max="27" width="11.5546875" bestFit="1" customWidth="1"/>
    <col min="28" max="28" width="12.5546875" bestFit="1" customWidth="1"/>
  </cols>
  <sheetData>
    <row r="1" spans="1:28" ht="15.6">
      <c r="T1" s="181"/>
    </row>
    <row r="2" spans="1:28">
      <c r="A2" s="434" t="s">
        <v>285</v>
      </c>
      <c r="B2" s="434"/>
      <c r="C2" s="434"/>
      <c r="D2" s="434"/>
      <c r="E2" s="434"/>
      <c r="F2" s="434"/>
      <c r="G2" s="287"/>
      <c r="H2" s="287"/>
      <c r="I2" s="287"/>
      <c r="J2" s="287"/>
      <c r="K2" s="287"/>
      <c r="L2" s="287"/>
      <c r="M2" s="287"/>
      <c r="N2" s="287"/>
      <c r="O2" s="287"/>
      <c r="P2" s="287"/>
      <c r="Q2" s="287"/>
      <c r="R2" s="287"/>
      <c r="S2" s="287"/>
      <c r="T2" s="287"/>
      <c r="U2" s="287"/>
      <c r="V2" s="287"/>
      <c r="W2" s="287"/>
      <c r="X2" s="287"/>
      <c r="Y2" s="434" t="s">
        <v>188</v>
      </c>
      <c r="Z2" s="434"/>
    </row>
    <row r="3" spans="1:28">
      <c r="A3" s="287"/>
      <c r="B3" s="287"/>
      <c r="C3" s="288"/>
      <c r="D3" s="287"/>
      <c r="E3" s="287"/>
      <c r="F3" s="287"/>
      <c r="G3" s="287"/>
      <c r="H3" s="287"/>
      <c r="I3" s="287"/>
      <c r="J3" s="287"/>
      <c r="K3" s="287"/>
      <c r="L3" s="287"/>
      <c r="M3" s="287"/>
      <c r="N3" s="287"/>
      <c r="O3" s="287"/>
      <c r="P3" s="287"/>
      <c r="Q3" s="287"/>
      <c r="R3" s="287"/>
      <c r="S3" s="287"/>
      <c r="T3" s="287"/>
      <c r="U3" s="287"/>
      <c r="V3" s="287"/>
      <c r="W3" s="287"/>
      <c r="X3" s="287"/>
      <c r="Y3" s="289"/>
      <c r="Z3" s="287"/>
    </row>
    <row r="4" spans="1:28">
      <c r="A4" s="435" t="s">
        <v>167</v>
      </c>
      <c r="B4" s="435"/>
      <c r="C4" s="435"/>
      <c r="D4" s="435"/>
      <c r="E4" s="435"/>
      <c r="F4" s="435"/>
      <c r="G4" s="435"/>
      <c r="H4" s="435"/>
      <c r="I4" s="435"/>
      <c r="J4" s="435"/>
      <c r="K4" s="435"/>
      <c r="L4" s="435"/>
      <c r="M4" s="435"/>
      <c r="N4" s="435"/>
      <c r="O4" s="435"/>
      <c r="P4" s="435"/>
      <c r="Q4" s="435"/>
      <c r="R4" s="435"/>
      <c r="S4" s="435"/>
      <c r="T4" s="435"/>
      <c r="U4" s="435"/>
      <c r="V4" s="435"/>
      <c r="W4" s="435"/>
      <c r="X4" s="435"/>
      <c r="Y4" s="435"/>
      <c r="Z4" s="435"/>
    </row>
    <row r="5" spans="1:28">
      <c r="A5" s="436" t="s">
        <v>189</v>
      </c>
      <c r="B5" s="436"/>
      <c r="C5" s="436"/>
      <c r="D5" s="436"/>
      <c r="E5" s="436"/>
      <c r="F5" s="436"/>
      <c r="G5" s="436"/>
      <c r="H5" s="436"/>
      <c r="I5" s="436"/>
      <c r="J5" s="436"/>
      <c r="K5" s="436"/>
      <c r="L5" s="436"/>
      <c r="M5" s="436"/>
      <c r="N5" s="436"/>
      <c r="O5" s="436"/>
      <c r="P5" s="436"/>
      <c r="Q5" s="436"/>
      <c r="R5" s="436"/>
      <c r="S5" s="436"/>
      <c r="T5" s="436"/>
      <c r="U5" s="436"/>
      <c r="V5" s="436"/>
      <c r="W5" s="436"/>
      <c r="X5" s="436"/>
      <c r="Y5" s="436"/>
      <c r="Z5" s="436"/>
    </row>
    <row r="6" spans="1:28">
      <c r="A6" s="287"/>
      <c r="B6" s="287"/>
      <c r="C6" s="288"/>
      <c r="D6" s="287"/>
      <c r="E6" s="287"/>
      <c r="F6" s="287"/>
      <c r="G6" s="287"/>
      <c r="H6" s="287"/>
      <c r="I6" s="287"/>
      <c r="J6" s="287"/>
      <c r="K6" s="287"/>
      <c r="L6" s="287"/>
      <c r="M6" s="287"/>
      <c r="N6" s="287"/>
      <c r="O6" s="287"/>
      <c r="P6" s="287"/>
      <c r="Q6" s="287"/>
      <c r="R6" s="287"/>
      <c r="S6" s="287"/>
      <c r="T6" s="287"/>
      <c r="U6" s="287"/>
      <c r="V6" s="287"/>
      <c r="W6" s="287"/>
      <c r="X6" s="287"/>
      <c r="Y6" s="290" t="s">
        <v>190</v>
      </c>
      <c r="Z6" s="287"/>
    </row>
    <row r="7" spans="1:28">
      <c r="A7" s="437" t="s">
        <v>4</v>
      </c>
      <c r="B7" s="438" t="s">
        <v>169</v>
      </c>
      <c r="C7" s="438" t="s">
        <v>191</v>
      </c>
      <c r="D7" s="439" t="s">
        <v>192</v>
      </c>
      <c r="E7" s="439"/>
      <c r="F7" s="439"/>
      <c r="G7" s="439"/>
      <c r="H7" s="439"/>
      <c r="I7" s="439"/>
      <c r="J7" s="439"/>
      <c r="K7" s="439"/>
      <c r="L7" s="439"/>
      <c r="M7" s="439"/>
      <c r="N7" s="439"/>
      <c r="O7" s="439"/>
      <c r="P7" s="439"/>
      <c r="Q7" s="439"/>
      <c r="R7" s="439"/>
      <c r="S7" s="439"/>
      <c r="T7" s="439"/>
      <c r="U7" s="439"/>
      <c r="V7" s="440" t="s">
        <v>193</v>
      </c>
      <c r="W7" s="441" t="s">
        <v>194</v>
      </c>
      <c r="X7" s="441"/>
      <c r="Y7" s="442" t="s">
        <v>195</v>
      </c>
      <c r="Z7" s="440" t="s">
        <v>7</v>
      </c>
    </row>
    <row r="8" spans="1:28">
      <c r="A8" s="437"/>
      <c r="B8" s="438"/>
      <c r="C8" s="438"/>
      <c r="D8" s="439" t="s">
        <v>170</v>
      </c>
      <c r="E8" s="439" t="s">
        <v>196</v>
      </c>
      <c r="F8" s="445" t="s">
        <v>197</v>
      </c>
      <c r="G8" s="439" t="s">
        <v>198</v>
      </c>
      <c r="H8" s="447" t="s">
        <v>199</v>
      </c>
      <c r="I8" s="448"/>
      <c r="J8" s="448"/>
      <c r="K8" s="448"/>
      <c r="L8" s="448"/>
      <c r="M8" s="448"/>
      <c r="N8" s="448"/>
      <c r="O8" s="448"/>
      <c r="P8" s="448"/>
      <c r="Q8" s="448"/>
      <c r="R8" s="448"/>
      <c r="S8" s="448"/>
      <c r="T8" s="448"/>
      <c r="U8" s="449"/>
      <c r="V8" s="440"/>
      <c r="W8" s="440" t="s">
        <v>171</v>
      </c>
      <c r="X8" s="440" t="s">
        <v>172</v>
      </c>
      <c r="Y8" s="443"/>
      <c r="Z8" s="440"/>
    </row>
    <row r="9" spans="1:28" ht="112.2">
      <c r="A9" s="437"/>
      <c r="B9" s="438"/>
      <c r="C9" s="438"/>
      <c r="D9" s="439"/>
      <c r="E9" s="439"/>
      <c r="F9" s="446"/>
      <c r="G9" s="439"/>
      <c r="H9" s="286" t="s">
        <v>200</v>
      </c>
      <c r="I9" s="286" t="s">
        <v>201</v>
      </c>
      <c r="J9" s="286" t="s">
        <v>202</v>
      </c>
      <c r="K9" s="286" t="s">
        <v>173</v>
      </c>
      <c r="L9" s="286" t="s">
        <v>203</v>
      </c>
      <c r="M9" s="286" t="s">
        <v>204</v>
      </c>
      <c r="N9" s="286" t="s">
        <v>174</v>
      </c>
      <c r="O9" s="286" t="s">
        <v>205</v>
      </c>
      <c r="P9" s="286" t="s">
        <v>206</v>
      </c>
      <c r="Q9" s="286" t="s">
        <v>207</v>
      </c>
      <c r="R9" s="286" t="s">
        <v>208</v>
      </c>
      <c r="S9" s="286" t="s">
        <v>209</v>
      </c>
      <c r="T9" s="286" t="s">
        <v>210</v>
      </c>
      <c r="U9" s="286" t="s">
        <v>211</v>
      </c>
      <c r="V9" s="440"/>
      <c r="W9" s="440"/>
      <c r="X9" s="440"/>
      <c r="Y9" s="444"/>
      <c r="Z9" s="440"/>
    </row>
    <row r="10" spans="1:28" s="182" customFormat="1">
      <c r="A10" s="291" t="s">
        <v>8</v>
      </c>
      <c r="B10" s="291" t="s">
        <v>10</v>
      </c>
      <c r="C10" s="291" t="s">
        <v>175</v>
      </c>
      <c r="D10" s="292">
        <v>1</v>
      </c>
      <c r="E10" s="292">
        <v>2</v>
      </c>
      <c r="F10" s="292" t="s">
        <v>212</v>
      </c>
      <c r="G10" s="292" t="s">
        <v>213</v>
      </c>
      <c r="H10" s="292" t="s">
        <v>214</v>
      </c>
      <c r="I10" s="292" t="s">
        <v>215</v>
      </c>
      <c r="J10" s="292">
        <v>7</v>
      </c>
      <c r="K10" s="292">
        <v>8</v>
      </c>
      <c r="L10" s="292">
        <v>9</v>
      </c>
      <c r="M10" s="292">
        <v>10</v>
      </c>
      <c r="N10" s="292">
        <v>11</v>
      </c>
      <c r="O10" s="292">
        <v>12</v>
      </c>
      <c r="P10" s="292">
        <v>13</v>
      </c>
      <c r="Q10" s="292" t="s">
        <v>216</v>
      </c>
      <c r="R10" s="292" t="s">
        <v>217</v>
      </c>
      <c r="S10" s="292" t="s">
        <v>218</v>
      </c>
      <c r="T10" s="292" t="s">
        <v>219</v>
      </c>
      <c r="U10" s="292" t="s">
        <v>220</v>
      </c>
      <c r="V10" s="292" t="s">
        <v>221</v>
      </c>
      <c r="W10" s="292" t="s">
        <v>222</v>
      </c>
      <c r="X10" s="292" t="s">
        <v>223</v>
      </c>
      <c r="Y10" s="292" t="s">
        <v>224</v>
      </c>
      <c r="Z10" s="292" t="s">
        <v>225</v>
      </c>
    </row>
    <row r="11" spans="1:28" s="182" customFormat="1">
      <c r="A11" s="293"/>
      <c r="B11" s="293" t="s">
        <v>226</v>
      </c>
      <c r="C11" s="293"/>
      <c r="D11" s="294">
        <f>SUM(D12:D22)</f>
        <v>73.52385000000001</v>
      </c>
      <c r="E11" s="294">
        <f t="shared" ref="E11:X11" si="0">SUM(E12:E22)</f>
        <v>34.450000000000003</v>
      </c>
      <c r="F11" s="294">
        <f t="shared" si="0"/>
        <v>2.0499999999999998</v>
      </c>
      <c r="G11" s="294">
        <f t="shared" si="0"/>
        <v>33.043049999999994</v>
      </c>
      <c r="H11" s="294">
        <f t="shared" si="0"/>
        <v>3.2999999999999994</v>
      </c>
      <c r="I11" s="294">
        <f t="shared" si="0"/>
        <v>9.1249999999999982</v>
      </c>
      <c r="J11" s="294">
        <f t="shared" si="0"/>
        <v>0</v>
      </c>
      <c r="K11" s="294">
        <f t="shared" si="0"/>
        <v>1.6500000000000001</v>
      </c>
      <c r="L11" s="294">
        <f t="shared" si="0"/>
        <v>0</v>
      </c>
      <c r="M11" s="294">
        <f t="shared" si="0"/>
        <v>0</v>
      </c>
      <c r="N11" s="294">
        <f t="shared" si="0"/>
        <v>0</v>
      </c>
      <c r="O11" s="294">
        <f t="shared" si="0"/>
        <v>0</v>
      </c>
      <c r="P11" s="294">
        <f t="shared" si="0"/>
        <v>0</v>
      </c>
      <c r="Q11" s="294">
        <f t="shared" si="0"/>
        <v>0</v>
      </c>
      <c r="R11" s="294">
        <f t="shared" si="0"/>
        <v>9.2959999999999994</v>
      </c>
      <c r="S11" s="294">
        <f t="shared" si="0"/>
        <v>2.7</v>
      </c>
      <c r="T11" s="294">
        <f t="shared" si="0"/>
        <v>0</v>
      </c>
      <c r="U11" s="294">
        <f t="shared" si="0"/>
        <v>7.482499999999999</v>
      </c>
      <c r="V11" s="294">
        <f t="shared" si="0"/>
        <v>52</v>
      </c>
      <c r="W11" s="294">
        <f t="shared" si="0"/>
        <v>78</v>
      </c>
      <c r="X11" s="294">
        <f t="shared" si="0"/>
        <v>119</v>
      </c>
      <c r="Y11" s="294">
        <f>SUM(Y12:Y22)</f>
        <v>775.94013899999982</v>
      </c>
      <c r="Z11" s="294"/>
      <c r="AA11" s="183"/>
      <c r="AB11" s="184"/>
    </row>
    <row r="12" spans="1:28" s="182" customFormat="1">
      <c r="A12" s="453">
        <v>1</v>
      </c>
      <c r="B12" s="455" t="s">
        <v>286</v>
      </c>
      <c r="C12" s="457" t="s">
        <v>287</v>
      </c>
      <c r="D12" s="295">
        <f>E12+F12+G12</f>
        <v>9.6257999999999981</v>
      </c>
      <c r="E12" s="296">
        <v>3.66</v>
      </c>
      <c r="F12" s="296">
        <v>0.3</v>
      </c>
      <c r="G12" s="295">
        <f>H12+I12+J12+K12+L12+M12+N12+O12+P12+Q12+R12+S12+T12+U12</f>
        <v>5.6657999999999991</v>
      </c>
      <c r="H12" s="296">
        <v>0.3</v>
      </c>
      <c r="I12" s="295">
        <f>(E12+F12)*25%</f>
        <v>0.99</v>
      </c>
      <c r="J12" s="297"/>
      <c r="K12" s="295">
        <f>(E12+F12)*20%</f>
        <v>0.79200000000000004</v>
      </c>
      <c r="L12" s="295"/>
      <c r="M12" s="295"/>
      <c r="N12" s="295"/>
      <c r="O12" s="297"/>
      <c r="P12" s="295"/>
      <c r="Q12" s="295"/>
      <c r="R12" s="295">
        <f>(E12+F12)*70%</f>
        <v>2.7719999999999998</v>
      </c>
      <c r="S12" s="295"/>
      <c r="T12" s="295"/>
      <c r="U12" s="297">
        <f>(E12+F12)*20.5%</f>
        <v>0.81179999999999997</v>
      </c>
      <c r="V12" s="298">
        <f t="shared" ref="V12:V22" si="1">X12-W12+1</f>
        <v>1</v>
      </c>
      <c r="W12" s="298">
        <v>7</v>
      </c>
      <c r="X12" s="299">
        <v>7</v>
      </c>
      <c r="Y12" s="295">
        <f>D12*V12*2.34</f>
        <v>22.524371999999993</v>
      </c>
      <c r="Z12" s="300"/>
      <c r="AA12" s="185"/>
    </row>
    <row r="13" spans="1:28" s="182" customFormat="1">
      <c r="A13" s="454"/>
      <c r="B13" s="456"/>
      <c r="C13" s="458"/>
      <c r="D13" s="295">
        <f>E13+F13+G13</f>
        <v>10.402950000000001</v>
      </c>
      <c r="E13" s="296">
        <v>3.99</v>
      </c>
      <c r="F13" s="296">
        <v>0.3</v>
      </c>
      <c r="G13" s="295">
        <f>H13+I13+J13+K13+L13+M13+N13+O13+P13+Q13+R13+S13+T13+U13</f>
        <v>6.1129499999999997</v>
      </c>
      <c r="H13" s="296">
        <v>0.3</v>
      </c>
      <c r="I13" s="295">
        <f>(E13+F13)*25%</f>
        <v>1.0725</v>
      </c>
      <c r="J13" s="297"/>
      <c r="K13" s="295">
        <f>(E13+F13)*20%</f>
        <v>0.8580000000000001</v>
      </c>
      <c r="L13" s="295"/>
      <c r="M13" s="295"/>
      <c r="N13" s="295"/>
      <c r="O13" s="297"/>
      <c r="P13" s="295"/>
      <c r="Q13" s="295"/>
      <c r="R13" s="295">
        <f>(E13+F13)*70%</f>
        <v>3.0029999999999997</v>
      </c>
      <c r="S13" s="295"/>
      <c r="T13" s="295"/>
      <c r="U13" s="297">
        <f>(E13+F13)*20.5%</f>
        <v>0.87944999999999995</v>
      </c>
      <c r="V13" s="298">
        <f t="shared" si="1"/>
        <v>5</v>
      </c>
      <c r="W13" s="298">
        <v>8</v>
      </c>
      <c r="X13" s="299">
        <v>12</v>
      </c>
      <c r="Y13" s="295">
        <f>D13*V13*2.34</f>
        <v>121.71451500000001</v>
      </c>
      <c r="Z13" s="300"/>
      <c r="AA13" s="185"/>
    </row>
    <row r="14" spans="1:28" s="182" customFormat="1" ht="20.399999999999999">
      <c r="A14" s="301">
        <v>2</v>
      </c>
      <c r="B14" s="302" t="s">
        <v>288</v>
      </c>
      <c r="C14" s="303" t="s">
        <v>289</v>
      </c>
      <c r="D14" s="295">
        <f>E14+F14+G14</f>
        <v>3.3125</v>
      </c>
      <c r="E14" s="296">
        <v>2.34</v>
      </c>
      <c r="F14" s="296">
        <v>0.15</v>
      </c>
      <c r="G14" s="295">
        <f>H14+I14+J14+K14+L14+M14+N14+O14+P14+Q14+R14+S14+T14</f>
        <v>0.82250000000000001</v>
      </c>
      <c r="H14" s="296">
        <v>0.2</v>
      </c>
      <c r="I14" s="295">
        <f>(E14+F14)*25%</f>
        <v>0.62249999999999994</v>
      </c>
      <c r="J14" s="297"/>
      <c r="K14" s="295"/>
      <c r="L14" s="295"/>
      <c r="M14" s="295"/>
      <c r="N14" s="295"/>
      <c r="O14" s="297"/>
      <c r="P14" s="295"/>
      <c r="Q14" s="295"/>
      <c r="R14" s="295"/>
      <c r="S14" s="295"/>
      <c r="T14" s="295"/>
      <c r="U14" s="297">
        <f t="shared" ref="U14:U22" si="2">(E14+F14)*20.5%</f>
        <v>0.51044999999999996</v>
      </c>
      <c r="V14" s="298">
        <f t="shared" si="1"/>
        <v>6</v>
      </c>
      <c r="W14" s="298">
        <v>7</v>
      </c>
      <c r="X14" s="299">
        <v>12</v>
      </c>
      <c r="Y14" s="295">
        <f>D14*V14*2.34</f>
        <v>46.5075</v>
      </c>
      <c r="Z14" s="300"/>
    </row>
    <row r="15" spans="1:28" s="182" customFormat="1" ht="20.399999999999999">
      <c r="A15" s="301">
        <v>3</v>
      </c>
      <c r="B15" s="302" t="s">
        <v>290</v>
      </c>
      <c r="C15" s="303" t="s">
        <v>291</v>
      </c>
      <c r="D15" s="295">
        <f>E15+G15+U15</f>
        <v>5.2789999999999999</v>
      </c>
      <c r="E15" s="304">
        <v>3</v>
      </c>
      <c r="F15" s="296">
        <v>0.15</v>
      </c>
      <c r="G15" s="295">
        <f>H15+I15+J15+K15+L15+M15+N15+O15+P15+Q15+R15+S15+T15+U15</f>
        <v>1.6332499999999999</v>
      </c>
      <c r="H15" s="296">
        <v>0.2</v>
      </c>
      <c r="I15" s="295">
        <f>(E15+F15)*25%</f>
        <v>0.78749999999999998</v>
      </c>
      <c r="J15" s="297"/>
      <c r="K15" s="295"/>
      <c r="L15" s="295"/>
      <c r="M15" s="295"/>
      <c r="N15" s="295"/>
      <c r="O15" s="297"/>
      <c r="P15" s="295"/>
      <c r="Q15" s="295"/>
      <c r="R15" s="295"/>
      <c r="S15" s="295"/>
      <c r="T15" s="295"/>
      <c r="U15" s="297">
        <f t="shared" si="2"/>
        <v>0.64574999999999994</v>
      </c>
      <c r="V15" s="298">
        <f t="shared" si="1"/>
        <v>6</v>
      </c>
      <c r="W15" s="298">
        <v>7</v>
      </c>
      <c r="X15" s="299">
        <v>12</v>
      </c>
      <c r="Y15" s="295">
        <f t="shared" ref="Y15:Y22" si="3">(D15*V15*2.34)</f>
        <v>74.117159999999998</v>
      </c>
      <c r="Z15" s="300"/>
    </row>
    <row r="16" spans="1:28" s="182" customFormat="1" ht="20.399999999999999">
      <c r="A16" s="301">
        <v>4</v>
      </c>
      <c r="B16" s="302" t="s">
        <v>292</v>
      </c>
      <c r="C16" s="303" t="s">
        <v>293</v>
      </c>
      <c r="D16" s="295">
        <f>E16+G16+U16</f>
        <v>6.194399999999999</v>
      </c>
      <c r="E16" s="296">
        <v>2.34</v>
      </c>
      <c r="F16" s="296">
        <v>0.2</v>
      </c>
      <c r="G16" s="295">
        <f t="shared" ref="G16:G22" si="4">H16+I16+J16+K16+L16+M16+N16+O16+P16+Q16+R16+S16+T16+U16</f>
        <v>3.3336999999999994</v>
      </c>
      <c r="H16" s="296">
        <v>0.4</v>
      </c>
      <c r="I16" s="295">
        <f t="shared" ref="I16:I22" si="5">(E16+F16)*25%</f>
        <v>0.63500000000000001</v>
      </c>
      <c r="J16" s="297"/>
      <c r="K16" s="295"/>
      <c r="L16" s="295"/>
      <c r="M16" s="295"/>
      <c r="N16" s="295"/>
      <c r="O16" s="297"/>
      <c r="P16" s="295"/>
      <c r="Q16" s="295"/>
      <c r="R16" s="295">
        <f>(E16+F16)*70%</f>
        <v>1.7779999999999998</v>
      </c>
      <c r="S16" s="295"/>
      <c r="T16" s="295"/>
      <c r="U16" s="297">
        <f t="shared" si="2"/>
        <v>0.52069999999999994</v>
      </c>
      <c r="V16" s="298">
        <f t="shared" si="1"/>
        <v>6</v>
      </c>
      <c r="W16" s="298">
        <v>7</v>
      </c>
      <c r="X16" s="299">
        <v>12</v>
      </c>
      <c r="Y16" s="295">
        <f t="shared" si="3"/>
        <v>86.969375999999983</v>
      </c>
      <c r="Z16" s="300"/>
    </row>
    <row r="17" spans="1:26" s="182" customFormat="1" ht="30.6">
      <c r="A17" s="301">
        <v>5</v>
      </c>
      <c r="B17" s="302" t="s">
        <v>294</v>
      </c>
      <c r="C17" s="303" t="s">
        <v>295</v>
      </c>
      <c r="D17" s="295">
        <f t="shared" ref="D17:D22" si="6">E17+G17+U17</f>
        <v>7.4745999999999997</v>
      </c>
      <c r="E17" s="296">
        <v>3.66</v>
      </c>
      <c r="F17" s="296">
        <v>0.15</v>
      </c>
      <c r="G17" s="295">
        <f t="shared" si="4"/>
        <v>3.03355</v>
      </c>
      <c r="H17" s="296">
        <v>0.3</v>
      </c>
      <c r="I17" s="295">
        <f t="shared" si="5"/>
        <v>0.95250000000000001</v>
      </c>
      <c r="J17" s="297"/>
      <c r="K17" s="295"/>
      <c r="L17" s="295"/>
      <c r="M17" s="295"/>
      <c r="N17" s="295"/>
      <c r="O17" s="297"/>
      <c r="P17" s="295"/>
      <c r="Q17" s="295"/>
      <c r="R17" s="295"/>
      <c r="S17" s="295">
        <v>1</v>
      </c>
      <c r="T17" s="295"/>
      <c r="U17" s="297">
        <f t="shared" si="2"/>
        <v>0.78104999999999991</v>
      </c>
      <c r="V17" s="298">
        <f t="shared" si="1"/>
        <v>6</v>
      </c>
      <c r="W17" s="298">
        <v>7</v>
      </c>
      <c r="X17" s="299">
        <v>12</v>
      </c>
      <c r="Y17" s="295">
        <f t="shared" si="3"/>
        <v>104.94338399999999</v>
      </c>
      <c r="Z17" s="300"/>
    </row>
    <row r="18" spans="1:26" s="182" customFormat="1">
      <c r="A18" s="301">
        <v>6</v>
      </c>
      <c r="B18" s="302" t="s">
        <v>296</v>
      </c>
      <c r="C18" s="303" t="s">
        <v>228</v>
      </c>
      <c r="D18" s="295">
        <f t="shared" si="6"/>
        <v>6.0756000000000006</v>
      </c>
      <c r="E18" s="296">
        <v>3.46</v>
      </c>
      <c r="F18" s="296">
        <v>0.2</v>
      </c>
      <c r="G18" s="295">
        <f t="shared" si="4"/>
        <v>1.8653</v>
      </c>
      <c r="H18" s="296">
        <v>0.2</v>
      </c>
      <c r="I18" s="295">
        <f t="shared" si="5"/>
        <v>0.91500000000000004</v>
      </c>
      <c r="J18" s="297"/>
      <c r="K18" s="295"/>
      <c r="L18" s="295"/>
      <c r="M18" s="295"/>
      <c r="N18" s="297"/>
      <c r="O18" s="297"/>
      <c r="P18" s="295"/>
      <c r="Q18" s="295"/>
      <c r="R18" s="295"/>
      <c r="S18" s="295"/>
      <c r="T18" s="295"/>
      <c r="U18" s="297">
        <f t="shared" si="2"/>
        <v>0.75029999999999997</v>
      </c>
      <c r="V18" s="298">
        <f t="shared" si="1"/>
        <v>6</v>
      </c>
      <c r="W18" s="298">
        <v>7</v>
      </c>
      <c r="X18" s="299">
        <v>12</v>
      </c>
      <c r="Y18" s="295">
        <f t="shared" si="3"/>
        <v>85.301423999999997</v>
      </c>
      <c r="Z18" s="300"/>
    </row>
    <row r="19" spans="1:26" s="182" customFormat="1">
      <c r="A19" s="301">
        <v>7</v>
      </c>
      <c r="B19" s="302" t="s">
        <v>297</v>
      </c>
      <c r="C19" s="303" t="s">
        <v>228</v>
      </c>
      <c r="D19" s="295">
        <f t="shared" si="6"/>
        <v>5.9789999999999992</v>
      </c>
      <c r="E19" s="304">
        <v>3</v>
      </c>
      <c r="F19" s="296">
        <v>0.15</v>
      </c>
      <c r="G19" s="295">
        <f t="shared" si="4"/>
        <v>2.33325</v>
      </c>
      <c r="H19" s="296">
        <v>0.4</v>
      </c>
      <c r="I19" s="295">
        <f t="shared" si="5"/>
        <v>0.78749999999999998</v>
      </c>
      <c r="J19" s="297"/>
      <c r="K19" s="295"/>
      <c r="L19" s="295"/>
      <c r="M19" s="295"/>
      <c r="N19" s="297"/>
      <c r="O19" s="297"/>
      <c r="P19" s="295"/>
      <c r="Q19" s="295"/>
      <c r="R19" s="295"/>
      <c r="S19" s="295">
        <v>0.5</v>
      </c>
      <c r="T19" s="295"/>
      <c r="U19" s="297">
        <f t="shared" si="2"/>
        <v>0.64574999999999994</v>
      </c>
      <c r="V19" s="298">
        <f t="shared" si="1"/>
        <v>6</v>
      </c>
      <c r="W19" s="298">
        <v>7</v>
      </c>
      <c r="X19" s="299">
        <v>12</v>
      </c>
      <c r="Y19" s="295">
        <f t="shared" si="3"/>
        <v>83.945159999999987</v>
      </c>
      <c r="Z19" s="300"/>
    </row>
    <row r="20" spans="1:26" s="182" customFormat="1">
      <c r="A20" s="305">
        <v>8</v>
      </c>
      <c r="B20" s="302" t="s">
        <v>298</v>
      </c>
      <c r="C20" s="303" t="s">
        <v>228</v>
      </c>
      <c r="D20" s="295">
        <f t="shared" si="6"/>
        <v>6.1263999999999994</v>
      </c>
      <c r="E20" s="296">
        <v>2.34</v>
      </c>
      <c r="F20" s="296">
        <v>0.15</v>
      </c>
      <c r="G20" s="295">
        <f t="shared" si="4"/>
        <v>3.2759499999999995</v>
      </c>
      <c r="H20" s="296">
        <v>0.4</v>
      </c>
      <c r="I20" s="295">
        <f t="shared" si="5"/>
        <v>0.62249999999999994</v>
      </c>
      <c r="J20" s="297"/>
      <c r="K20" s="295"/>
      <c r="L20" s="295"/>
      <c r="M20" s="295"/>
      <c r="N20" s="295"/>
      <c r="O20" s="297"/>
      <c r="P20" s="295"/>
      <c r="Q20" s="295"/>
      <c r="R20" s="295">
        <f>(E20+F20)*70%</f>
        <v>1.7429999999999997</v>
      </c>
      <c r="S20" s="295"/>
      <c r="T20" s="295"/>
      <c r="U20" s="297">
        <f t="shared" si="2"/>
        <v>0.51044999999999996</v>
      </c>
      <c r="V20" s="298">
        <f t="shared" si="1"/>
        <v>2</v>
      </c>
      <c r="W20" s="298">
        <v>7</v>
      </c>
      <c r="X20" s="299">
        <v>8</v>
      </c>
      <c r="Y20" s="295">
        <f t="shared" si="3"/>
        <v>28.671551999999995</v>
      </c>
      <c r="Z20" s="300"/>
    </row>
    <row r="21" spans="1:26" s="182" customFormat="1">
      <c r="A21" s="306">
        <v>9</v>
      </c>
      <c r="B21" s="302" t="s">
        <v>299</v>
      </c>
      <c r="C21" s="303" t="s">
        <v>228</v>
      </c>
      <c r="D21" s="295">
        <f t="shared" si="6"/>
        <v>6.4268000000000001</v>
      </c>
      <c r="E21" s="296">
        <v>3.33</v>
      </c>
      <c r="F21" s="296">
        <v>0.15</v>
      </c>
      <c r="G21" s="295">
        <f t="shared" si="4"/>
        <v>2.3834</v>
      </c>
      <c r="H21" s="296">
        <v>0.3</v>
      </c>
      <c r="I21" s="295">
        <f t="shared" si="5"/>
        <v>0.87</v>
      </c>
      <c r="J21" s="297"/>
      <c r="K21" s="295"/>
      <c r="L21" s="295"/>
      <c r="M21" s="295"/>
      <c r="N21" s="295"/>
      <c r="O21" s="297"/>
      <c r="P21" s="295"/>
      <c r="Q21" s="295"/>
      <c r="R21" s="295"/>
      <c r="S21" s="295">
        <v>0.5</v>
      </c>
      <c r="T21" s="295"/>
      <c r="U21" s="297">
        <f t="shared" si="2"/>
        <v>0.71339999999999992</v>
      </c>
      <c r="V21" s="298">
        <f t="shared" si="1"/>
        <v>6</v>
      </c>
      <c r="W21" s="298">
        <v>7</v>
      </c>
      <c r="X21" s="299">
        <v>12</v>
      </c>
      <c r="Y21" s="295">
        <f t="shared" si="3"/>
        <v>90.232271999999995</v>
      </c>
      <c r="Z21" s="300"/>
    </row>
    <row r="22" spans="1:26" s="182" customFormat="1">
      <c r="A22" s="301">
        <v>10</v>
      </c>
      <c r="B22" s="302" t="s">
        <v>300</v>
      </c>
      <c r="C22" s="303" t="s">
        <v>228</v>
      </c>
      <c r="D22" s="295">
        <f t="shared" si="6"/>
        <v>6.6267999999999994</v>
      </c>
      <c r="E22" s="296">
        <v>3.33</v>
      </c>
      <c r="F22" s="296">
        <v>0.15</v>
      </c>
      <c r="G22" s="295">
        <f t="shared" si="4"/>
        <v>2.5833999999999997</v>
      </c>
      <c r="H22" s="296">
        <v>0.3</v>
      </c>
      <c r="I22" s="295">
        <f t="shared" si="5"/>
        <v>0.87</v>
      </c>
      <c r="J22" s="297"/>
      <c r="K22" s="295"/>
      <c r="L22" s="295"/>
      <c r="M22" s="295"/>
      <c r="N22" s="295"/>
      <c r="O22" s="297"/>
      <c r="P22" s="307"/>
      <c r="Q22" s="295"/>
      <c r="R22" s="295"/>
      <c r="S22" s="295">
        <v>0.7</v>
      </c>
      <c r="T22" s="295"/>
      <c r="U22" s="297">
        <f t="shared" si="2"/>
        <v>0.71339999999999992</v>
      </c>
      <c r="V22" s="298">
        <f t="shared" si="1"/>
        <v>2</v>
      </c>
      <c r="W22" s="298">
        <v>7</v>
      </c>
      <c r="X22" s="299">
        <v>8</v>
      </c>
      <c r="Y22" s="295">
        <f t="shared" si="3"/>
        <v>31.013423999999993</v>
      </c>
      <c r="Z22" s="300"/>
    </row>
    <row r="23" spans="1:26">
      <c r="A23" s="287"/>
      <c r="B23" s="287"/>
      <c r="C23" s="288"/>
      <c r="D23" s="287"/>
      <c r="E23" s="287"/>
      <c r="F23" s="287"/>
      <c r="G23" s="287"/>
      <c r="H23" s="287"/>
      <c r="I23" s="287"/>
      <c r="J23" s="287"/>
      <c r="K23" s="287"/>
      <c r="L23" s="287"/>
      <c r="M23" s="287"/>
      <c r="N23" s="287"/>
      <c r="O23" s="287"/>
      <c r="P23" s="287"/>
      <c r="Q23" s="287"/>
      <c r="R23" s="287"/>
      <c r="S23" s="287"/>
      <c r="T23" s="287"/>
      <c r="U23" s="287"/>
      <c r="V23" s="287"/>
      <c r="W23" s="287"/>
      <c r="X23" s="287"/>
      <c r="Y23" s="289"/>
      <c r="Z23" s="287"/>
    </row>
    <row r="24" spans="1:26">
      <c r="A24" s="287"/>
      <c r="B24" s="287"/>
      <c r="C24" s="288"/>
      <c r="D24" s="287"/>
      <c r="E24" s="287"/>
      <c r="F24" s="287"/>
      <c r="G24" s="287"/>
      <c r="H24" s="287"/>
      <c r="I24" s="287"/>
      <c r="J24" s="287"/>
      <c r="K24" s="287"/>
      <c r="L24" s="287"/>
      <c r="M24" s="287"/>
      <c r="N24" s="287"/>
      <c r="O24" s="287"/>
      <c r="P24" s="287"/>
      <c r="Q24" s="287"/>
      <c r="R24" s="287"/>
      <c r="S24" s="287"/>
      <c r="T24" s="287"/>
      <c r="U24" s="287"/>
      <c r="V24" s="287"/>
      <c r="W24" s="287"/>
      <c r="X24" s="287"/>
      <c r="Y24" s="289"/>
      <c r="Z24" s="287"/>
    </row>
    <row r="25" spans="1:26">
      <c r="A25" s="287"/>
      <c r="B25" s="459" t="s">
        <v>230</v>
      </c>
      <c r="C25" s="459"/>
      <c r="D25" s="459"/>
      <c r="E25" s="287"/>
      <c r="F25" s="287"/>
      <c r="G25" s="287"/>
      <c r="H25" s="287"/>
      <c r="I25" s="287"/>
      <c r="J25" s="287"/>
      <c r="K25" s="287"/>
      <c r="L25" s="287"/>
      <c r="M25" s="287"/>
      <c r="N25" s="287"/>
      <c r="O25" s="287"/>
      <c r="P25" s="287"/>
      <c r="Q25" s="287"/>
      <c r="R25" s="287"/>
      <c r="S25" s="287"/>
      <c r="T25" s="287"/>
      <c r="U25" s="460" t="s">
        <v>231</v>
      </c>
      <c r="V25" s="460"/>
      <c r="W25" s="460"/>
      <c r="X25" s="460"/>
      <c r="Y25" s="289"/>
      <c r="Z25" s="287"/>
    </row>
    <row r="26" spans="1:26">
      <c r="U26" s="452" t="s">
        <v>232</v>
      </c>
      <c r="V26" s="452"/>
      <c r="W26" s="452"/>
      <c r="X26" s="452"/>
    </row>
    <row r="27" spans="1:26">
      <c r="U27" s="308"/>
      <c r="V27" s="308"/>
      <c r="W27" s="308"/>
      <c r="X27" s="308"/>
    </row>
    <row r="28" spans="1:26">
      <c r="U28" s="309"/>
      <c r="V28" s="309"/>
      <c r="W28" s="309"/>
      <c r="X28" s="309"/>
    </row>
    <row r="29" spans="1:26">
      <c r="U29" s="309"/>
      <c r="V29" s="309"/>
      <c r="W29" s="309"/>
      <c r="X29" s="309"/>
    </row>
    <row r="30" spans="1:26">
      <c r="U30" s="310"/>
      <c r="V30" s="310"/>
      <c r="W30" s="310"/>
      <c r="X30" s="310"/>
    </row>
    <row r="31" spans="1:26">
      <c r="B31" s="450" t="s">
        <v>229</v>
      </c>
      <c r="C31" s="450"/>
      <c r="D31" s="450"/>
      <c r="U31" s="451" t="s">
        <v>227</v>
      </c>
      <c r="V31" s="451"/>
      <c r="W31" s="451"/>
      <c r="X31" s="451"/>
    </row>
  </sheetData>
  <mergeCells count="27">
    <mergeCell ref="A12:A13"/>
    <mergeCell ref="B12:B13"/>
    <mergeCell ref="C12:C13"/>
    <mergeCell ref="B25:D25"/>
    <mergeCell ref="U25:X25"/>
    <mergeCell ref="H8:U8"/>
    <mergeCell ref="W8:W9"/>
    <mergeCell ref="X8:X9"/>
    <mergeCell ref="B31:D31"/>
    <mergeCell ref="U31:X31"/>
    <mergeCell ref="U26:X26"/>
    <mergeCell ref="A2:F2"/>
    <mergeCell ref="Y2:Z2"/>
    <mergeCell ref="A4:Z4"/>
    <mergeCell ref="A5:Z5"/>
    <mergeCell ref="A7:A9"/>
    <mergeCell ref="B7:B9"/>
    <mergeCell ref="C7:C9"/>
    <mergeCell ref="D7:U7"/>
    <mergeCell ref="V7:V9"/>
    <mergeCell ref="W7:X7"/>
    <mergeCell ref="Y7:Y9"/>
    <mergeCell ref="Z7:Z9"/>
    <mergeCell ref="D8:D9"/>
    <mergeCell ref="E8:E9"/>
    <mergeCell ref="F8:F9"/>
    <mergeCell ref="G8:G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4" workbookViewId="0">
      <selection activeCell="C5" sqref="C5:H8"/>
    </sheetView>
  </sheetViews>
  <sheetFormatPr defaultColWidth="9.109375" defaultRowHeight="15.6"/>
  <cols>
    <col min="1" max="1" width="3.33203125" style="311" customWidth="1"/>
    <col min="2" max="2" width="29.6640625" style="312" customWidth="1"/>
    <col min="3" max="3" width="17.109375" style="313" customWidth="1"/>
    <col min="4" max="4" width="18" style="313" customWidth="1"/>
    <col min="5" max="5" width="18.6640625" style="313" customWidth="1"/>
    <col min="6" max="6" width="12.88671875" style="313" customWidth="1"/>
    <col min="7" max="7" width="17.109375" style="313" customWidth="1"/>
    <col min="8" max="8" width="16.44140625" style="313" bestFit="1" customWidth="1"/>
    <col min="9" max="9" width="27.109375" style="313" customWidth="1"/>
    <col min="10" max="10" width="17.33203125" style="311" customWidth="1"/>
    <col min="11" max="16384" width="9.109375" style="311"/>
  </cols>
  <sheetData>
    <row r="1" spans="1:9">
      <c r="B1" s="312" t="s">
        <v>307</v>
      </c>
    </row>
    <row r="3" spans="1:9" ht="16.2" thickBot="1"/>
    <row r="4" spans="1:9" s="320" customFormat="1" ht="110.25" customHeight="1" thickTop="1">
      <c r="A4" s="315" t="s">
        <v>168</v>
      </c>
      <c r="B4" s="316" t="s">
        <v>180</v>
      </c>
      <c r="C4" s="317" t="s">
        <v>186</v>
      </c>
      <c r="D4" s="317" t="s">
        <v>185</v>
      </c>
      <c r="E4" s="317" t="s">
        <v>304</v>
      </c>
      <c r="F4" s="327" t="s">
        <v>301</v>
      </c>
      <c r="G4" s="327" t="s">
        <v>302</v>
      </c>
      <c r="H4" s="318" t="s">
        <v>303</v>
      </c>
      <c r="I4" s="319"/>
    </row>
    <row r="5" spans="1:9" ht="31.2">
      <c r="A5" s="321">
        <v>1</v>
      </c>
      <c r="B5" s="322" t="s">
        <v>183</v>
      </c>
      <c r="C5" s="323">
        <v>2976208470</v>
      </c>
      <c r="D5" s="323">
        <f>'quy tien luong'!D9</f>
        <v>3007834723</v>
      </c>
      <c r="E5" s="323">
        <f>C5-D5</f>
        <v>-31626253</v>
      </c>
      <c r="F5" s="329">
        <v>0.74798853596943815</v>
      </c>
      <c r="G5" s="328">
        <f>C5*F5</f>
        <v>2226169816.2151413</v>
      </c>
      <c r="H5" s="324">
        <f>C5-G5</f>
        <v>750038653.7848587</v>
      </c>
    </row>
    <row r="6" spans="1:9">
      <c r="A6" s="321">
        <v>2</v>
      </c>
      <c r="B6" s="322" t="s">
        <v>181</v>
      </c>
      <c r="C6" s="331">
        <v>2432626080.0000005</v>
      </c>
      <c r="D6" s="323">
        <f>'quy tien luong'!D15</f>
        <v>548495739</v>
      </c>
      <c r="E6" s="323">
        <f t="shared" ref="E6:E8" si="0">C6-D6</f>
        <v>1884130341.0000005</v>
      </c>
      <c r="F6" s="329">
        <v>0.74798853596943815</v>
      </c>
      <c r="G6" s="328">
        <f t="shared" ref="G6:G8" si="1">C6*F6</f>
        <v>1819576420.1402736</v>
      </c>
      <c r="H6" s="324">
        <f t="shared" ref="H6:H8" si="2">C6-G6</f>
        <v>613049659.85972691</v>
      </c>
    </row>
    <row r="7" spans="1:9" ht="31.2">
      <c r="A7" s="321">
        <v>3</v>
      </c>
      <c r="B7" s="322" t="s">
        <v>182</v>
      </c>
      <c r="C7" s="323">
        <f>'uy ban mt'!Y11*1000000</f>
        <v>775940138.99999976</v>
      </c>
      <c r="D7" s="323">
        <v>1041212051</v>
      </c>
      <c r="E7" s="323">
        <f t="shared" si="0"/>
        <v>-265271912.00000024</v>
      </c>
      <c r="F7" s="329">
        <v>0.74798853596943815</v>
      </c>
      <c r="G7" s="328">
        <f t="shared" si="1"/>
        <v>580394328.5705322</v>
      </c>
      <c r="H7" s="324">
        <f t="shared" si="2"/>
        <v>195545810.42946756</v>
      </c>
    </row>
    <row r="8" spans="1:9" ht="31.2">
      <c r="A8" s="321">
        <v>4</v>
      </c>
      <c r="B8" s="322" t="s">
        <v>184</v>
      </c>
      <c r="C8" s="323">
        <v>252722106</v>
      </c>
      <c r="D8" s="331">
        <f>'quy tien luong'!D19</f>
        <v>217631290</v>
      </c>
      <c r="E8" s="323">
        <f t="shared" si="0"/>
        <v>35090816</v>
      </c>
      <c r="F8" s="329">
        <v>0.74798853596943815</v>
      </c>
      <c r="G8" s="328">
        <f t="shared" si="1"/>
        <v>189033238.07405317</v>
      </c>
      <c r="H8" s="324">
        <f t="shared" si="2"/>
        <v>63688867.925946832</v>
      </c>
    </row>
    <row r="9" spans="1:9">
      <c r="A9" s="321"/>
      <c r="B9" s="325" t="s">
        <v>170</v>
      </c>
      <c r="C9" s="326">
        <f>SUM(C5:C8)</f>
        <v>6437496795</v>
      </c>
      <c r="D9" s="326">
        <f t="shared" ref="D9:H9" si="3">SUM(D5:D8)</f>
        <v>4815173803</v>
      </c>
      <c r="E9" s="326">
        <f t="shared" si="3"/>
        <v>1622322992.0000002</v>
      </c>
      <c r="F9" s="330">
        <f t="shared" si="3"/>
        <v>2.9919541438777526</v>
      </c>
      <c r="G9" s="326">
        <f t="shared" si="3"/>
        <v>4815173803</v>
      </c>
      <c r="H9" s="326">
        <f t="shared" si="3"/>
        <v>1622322992</v>
      </c>
    </row>
    <row r="11" spans="1:9">
      <c r="F11" s="314">
        <f>D9/C9</f>
        <v>0.74798853596943815</v>
      </c>
    </row>
    <row r="12" spans="1:9">
      <c r="C12" s="314"/>
      <c r="E12" s="314"/>
    </row>
    <row r="13" spans="1:9">
      <c r="B13" s="332" t="s">
        <v>308</v>
      </c>
      <c r="C13" s="313">
        <f>C8+D16</f>
        <v>318429306</v>
      </c>
    </row>
    <row r="15" spans="1:9" ht="31.2">
      <c r="B15" s="322" t="s">
        <v>183</v>
      </c>
      <c r="C15" s="313" t="s">
        <v>309</v>
      </c>
      <c r="D15" s="313">
        <v>-65707200</v>
      </c>
    </row>
    <row r="16" spans="1:9" ht="31.2">
      <c r="B16" s="322" t="s">
        <v>184</v>
      </c>
      <c r="C16" s="313" t="s">
        <v>310</v>
      </c>
      <c r="D16" s="313">
        <v>65707200</v>
      </c>
    </row>
    <row r="17" spans="4:4" s="311" customFormat="1">
      <c r="D17" s="313">
        <f>D15+D16</f>
        <v>0</v>
      </c>
    </row>
  </sheetData>
  <pageMargins left="0.7" right="0.19"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E9" sqref="E9"/>
    </sheetView>
  </sheetViews>
  <sheetFormatPr defaultColWidth="9.109375" defaultRowHeight="15.6"/>
  <cols>
    <col min="1" max="1" width="6.88671875" style="311" customWidth="1"/>
    <col min="2" max="2" width="26.44140625" style="311" customWidth="1"/>
    <col min="3" max="3" width="17.88671875" style="311" customWidth="1"/>
    <col min="4" max="4" width="20.6640625" style="311" customWidth="1"/>
    <col min="5" max="5" width="17.6640625" style="311" customWidth="1"/>
    <col min="6" max="6" width="15.6640625" style="313" bestFit="1" customWidth="1"/>
    <col min="7" max="7" width="14.5546875" style="313" customWidth="1"/>
    <col min="8" max="8" width="17.5546875" style="313" customWidth="1"/>
    <col min="9" max="16384" width="9.109375" style="311"/>
  </cols>
  <sheetData>
    <row r="1" spans="1:8">
      <c r="G1" s="461" t="s">
        <v>324</v>
      </c>
      <c r="H1" s="461"/>
    </row>
    <row r="2" spans="1:8" s="337" customFormat="1">
      <c r="A2" s="401" t="s">
        <v>311</v>
      </c>
      <c r="B2" s="401"/>
      <c r="C2" s="401" t="s">
        <v>314</v>
      </c>
      <c r="D2" s="401"/>
      <c r="E2" s="401"/>
      <c r="F2" s="401"/>
      <c r="G2" s="401"/>
      <c r="H2" s="401"/>
    </row>
    <row r="3" spans="1:8" s="337" customFormat="1">
      <c r="A3" s="401" t="s">
        <v>312</v>
      </c>
      <c r="B3" s="401"/>
      <c r="C3" s="401" t="s">
        <v>315</v>
      </c>
      <c r="D3" s="401"/>
      <c r="E3" s="401"/>
      <c r="F3" s="401"/>
      <c r="G3" s="401"/>
      <c r="H3" s="401"/>
    </row>
    <row r="4" spans="1:8" s="337" customFormat="1">
      <c r="A4" s="351"/>
      <c r="B4" s="351"/>
      <c r="C4" s="351"/>
      <c r="D4" s="351"/>
      <c r="E4" s="351"/>
      <c r="F4" s="353"/>
      <c r="G4" s="353"/>
      <c r="H4" s="353"/>
    </row>
    <row r="5" spans="1:8">
      <c r="A5" s="401" t="s">
        <v>318</v>
      </c>
      <c r="B5" s="401"/>
      <c r="C5" s="401"/>
      <c r="D5" s="401"/>
      <c r="E5" s="401"/>
      <c r="F5" s="401"/>
      <c r="G5" s="401"/>
      <c r="H5" s="401"/>
    </row>
    <row r="6" spans="1:8">
      <c r="A6" s="397" t="s">
        <v>377</v>
      </c>
      <c r="B6" s="397"/>
      <c r="C6" s="397"/>
      <c r="D6" s="397"/>
      <c r="E6" s="397"/>
      <c r="F6" s="397"/>
      <c r="G6" s="397"/>
      <c r="H6" s="397"/>
    </row>
    <row r="7" spans="1:8">
      <c r="A7" s="352"/>
      <c r="B7" s="352"/>
      <c r="C7" s="352"/>
      <c r="D7" s="352"/>
      <c r="E7" s="352"/>
      <c r="F7" s="406" t="s">
        <v>316</v>
      </c>
      <c r="G7" s="406"/>
      <c r="H7" s="406"/>
    </row>
    <row r="8" spans="1:8" ht="16.2" thickBot="1"/>
    <row r="9" spans="1:8" ht="124.5" customHeight="1" thickTop="1">
      <c r="A9" s="333" t="s">
        <v>168</v>
      </c>
      <c r="B9" s="317" t="s">
        <v>313</v>
      </c>
      <c r="C9" s="317" t="s">
        <v>186</v>
      </c>
      <c r="D9" s="317" t="s">
        <v>319</v>
      </c>
      <c r="E9" s="317" t="s">
        <v>304</v>
      </c>
      <c r="F9" s="317" t="s">
        <v>328</v>
      </c>
      <c r="G9" s="317" t="s">
        <v>330</v>
      </c>
      <c r="H9" s="318" t="s">
        <v>331</v>
      </c>
    </row>
    <row r="10" spans="1:8" ht="78">
      <c r="A10" s="347">
        <v>1</v>
      </c>
      <c r="B10" s="322" t="s">
        <v>320</v>
      </c>
      <c r="C10" s="345">
        <v>2978486460</v>
      </c>
      <c r="D10" s="345">
        <v>3007834723</v>
      </c>
      <c r="E10" s="345">
        <f>C10-D10</f>
        <v>-29348263</v>
      </c>
      <c r="F10" s="345"/>
      <c r="G10" s="345">
        <f>-E10</f>
        <v>29348263</v>
      </c>
      <c r="H10" s="346">
        <f>C10</f>
        <v>2978486460</v>
      </c>
    </row>
    <row r="11" spans="1:8" ht="31.2">
      <c r="A11" s="347">
        <v>2</v>
      </c>
      <c r="B11" s="322" t="s">
        <v>181</v>
      </c>
      <c r="C11" s="334">
        <v>2432626080.0000005</v>
      </c>
      <c r="D11" s="334">
        <v>548495739</v>
      </c>
      <c r="E11" s="345">
        <f t="shared" ref="E11:E13" si="0">C11-D11</f>
        <v>1884130341.0000005</v>
      </c>
      <c r="F11" s="345">
        <f>E11</f>
        <v>1884130341.0000005</v>
      </c>
      <c r="G11" s="345"/>
      <c r="H11" s="346">
        <f>C11</f>
        <v>2432626080.0000005</v>
      </c>
    </row>
    <row r="12" spans="1:8" ht="31.2">
      <c r="A12" s="347">
        <v>3</v>
      </c>
      <c r="B12" s="322" t="s">
        <v>182</v>
      </c>
      <c r="C12" s="334">
        <v>775940138.99999976</v>
      </c>
      <c r="D12" s="334">
        <v>1041212051</v>
      </c>
      <c r="E12" s="345">
        <f t="shared" si="0"/>
        <v>-265271912.00000024</v>
      </c>
      <c r="F12" s="345"/>
      <c r="G12" s="345">
        <f>-E12</f>
        <v>265271912.00000024</v>
      </c>
      <c r="H12" s="346">
        <f>C12</f>
        <v>775940138.99999976</v>
      </c>
    </row>
    <row r="13" spans="1:8" ht="31.2">
      <c r="A13" s="347">
        <v>4</v>
      </c>
      <c r="B13" s="322" t="s">
        <v>184</v>
      </c>
      <c r="C13" s="334">
        <v>252722106</v>
      </c>
      <c r="D13" s="334">
        <v>217631290</v>
      </c>
      <c r="E13" s="345">
        <f t="shared" si="0"/>
        <v>35090816</v>
      </c>
      <c r="F13" s="345">
        <f>E13</f>
        <v>35090816</v>
      </c>
      <c r="G13" s="345"/>
      <c r="H13" s="346">
        <f>C13</f>
        <v>252722106</v>
      </c>
    </row>
    <row r="14" spans="1:8" ht="24.75" customHeight="1">
      <c r="A14" s="347">
        <v>5</v>
      </c>
      <c r="B14" s="322" t="s">
        <v>329</v>
      </c>
      <c r="C14" s="334"/>
      <c r="D14" s="334"/>
      <c r="E14" s="345"/>
      <c r="F14" s="345">
        <v>969778843</v>
      </c>
      <c r="G14" s="345"/>
      <c r="H14" s="346">
        <f>F14+G10+G12</f>
        <v>1264399018.0000002</v>
      </c>
    </row>
    <row r="15" spans="1:8" ht="20.25" customHeight="1" thickBot="1">
      <c r="A15" s="404" t="s">
        <v>170</v>
      </c>
      <c r="B15" s="405"/>
      <c r="C15" s="335">
        <f>SUM(C10:C14)</f>
        <v>6439774785</v>
      </c>
      <c r="D15" s="335">
        <f t="shared" ref="D15:H15" si="1">SUM(D10:D14)</f>
        <v>4815173803</v>
      </c>
      <c r="E15" s="335">
        <f t="shared" si="1"/>
        <v>1624600982.0000002</v>
      </c>
      <c r="F15" s="335">
        <f t="shared" si="1"/>
        <v>2889000000.0000005</v>
      </c>
      <c r="G15" s="335">
        <f t="shared" si="1"/>
        <v>294620175.00000024</v>
      </c>
      <c r="H15" s="336">
        <f t="shared" si="1"/>
        <v>7704173803</v>
      </c>
    </row>
    <row r="16" spans="1:8" ht="16.2" thickTop="1"/>
  </sheetData>
  <mergeCells count="9">
    <mergeCell ref="A6:H6"/>
    <mergeCell ref="F7:H7"/>
    <mergeCell ref="A15:B15"/>
    <mergeCell ref="G1:H1"/>
    <mergeCell ref="A2:B2"/>
    <mergeCell ref="C2:H2"/>
    <mergeCell ref="A3:B3"/>
    <mergeCell ref="C3:H3"/>
    <mergeCell ref="A5:H5"/>
  </mergeCells>
  <pageMargins left="0.39" right="0.27" top="0.26"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7" workbookViewId="0">
      <selection activeCell="G6" sqref="A1:H37"/>
    </sheetView>
  </sheetViews>
  <sheetFormatPr defaultColWidth="9.109375" defaultRowHeight="15.6"/>
  <cols>
    <col min="1" max="1" width="4.6640625" style="311" customWidth="1"/>
    <col min="2" max="2" width="40" style="311" customWidth="1"/>
    <col min="3" max="3" width="23.44140625" style="311" customWidth="1"/>
    <col min="4" max="4" width="7" style="311" customWidth="1"/>
    <col min="5" max="5" width="15" style="311" customWidth="1"/>
    <col min="6" max="6" width="17.109375" style="313" customWidth="1"/>
    <col min="7" max="7" width="16" style="313" customWidth="1"/>
    <col min="8" max="8" width="16.44140625" style="311" customWidth="1"/>
    <col min="9" max="9" width="9.109375" style="311"/>
    <col min="10" max="10" width="14" style="311" bestFit="1" customWidth="1"/>
    <col min="11" max="16384" width="9.109375" style="311"/>
  </cols>
  <sheetData>
    <row r="1" spans="1:10" s="337" customFormat="1">
      <c r="A1" s="401" t="s">
        <v>311</v>
      </c>
      <c r="B1" s="401"/>
      <c r="C1" s="401"/>
      <c r="D1" s="401"/>
      <c r="E1" s="401"/>
      <c r="F1" s="401"/>
      <c r="G1" s="401"/>
    </row>
    <row r="2" spans="1:10" s="337" customFormat="1">
      <c r="A2" s="401" t="s">
        <v>312</v>
      </c>
      <c r="B2" s="401"/>
      <c r="C2" s="401"/>
      <c r="D2" s="401"/>
      <c r="E2" s="401"/>
      <c r="F2" s="401"/>
      <c r="G2" s="401"/>
    </row>
    <row r="3" spans="1:10">
      <c r="A3" s="401" t="s">
        <v>355</v>
      </c>
      <c r="B3" s="401"/>
      <c r="C3" s="401"/>
      <c r="D3" s="401"/>
      <c r="E3" s="401"/>
      <c r="F3" s="401"/>
      <c r="G3" s="401"/>
      <c r="H3" s="401"/>
    </row>
    <row r="4" spans="1:10">
      <c r="A4" s="397" t="s">
        <v>375</v>
      </c>
      <c r="B4" s="397"/>
      <c r="C4" s="397"/>
      <c r="D4" s="397"/>
      <c r="E4" s="397"/>
      <c r="F4" s="397"/>
      <c r="G4" s="397"/>
      <c r="H4" s="397"/>
    </row>
    <row r="5" spans="1:10" ht="16.2" thickBot="1">
      <c r="A5" s="365"/>
      <c r="B5" s="365"/>
      <c r="C5" s="365"/>
      <c r="D5" s="365"/>
      <c r="E5" s="365"/>
      <c r="H5" s="364" t="s">
        <v>316</v>
      </c>
      <c r="I5" s="364"/>
      <c r="J5" s="364"/>
    </row>
    <row r="6" spans="1:10" ht="124.5" customHeight="1" thickTop="1">
      <c r="A6" s="333" t="s">
        <v>168</v>
      </c>
      <c r="B6" s="317" t="s">
        <v>313</v>
      </c>
      <c r="C6" s="317" t="s">
        <v>378</v>
      </c>
      <c r="D6" s="317" t="s">
        <v>358</v>
      </c>
      <c r="E6" s="317" t="s">
        <v>359</v>
      </c>
      <c r="F6" s="317" t="s">
        <v>360</v>
      </c>
      <c r="G6" s="317" t="s">
        <v>368</v>
      </c>
      <c r="H6" s="318" t="s">
        <v>369</v>
      </c>
    </row>
    <row r="7" spans="1:10" s="337" customFormat="1">
      <c r="A7" s="361" t="s">
        <v>12</v>
      </c>
      <c r="B7" s="362" t="s">
        <v>361</v>
      </c>
      <c r="C7" s="362">
        <f>C8+C23</f>
        <v>1078307003</v>
      </c>
      <c r="D7" s="362">
        <f t="shared" ref="D7:H7" si="0">D8+D23</f>
        <v>57</v>
      </c>
      <c r="E7" s="362">
        <f t="shared" si="0"/>
        <v>28000000</v>
      </c>
      <c r="F7" s="362">
        <f t="shared" si="0"/>
        <v>1535307003</v>
      </c>
      <c r="G7" s="362">
        <f t="shared" si="0"/>
        <v>0</v>
      </c>
      <c r="H7" s="362">
        <f t="shared" si="0"/>
        <v>457000000</v>
      </c>
    </row>
    <row r="8" spans="1:10" s="337" customFormat="1" ht="46.8">
      <c r="A8" s="356" t="s">
        <v>12</v>
      </c>
      <c r="B8" s="325" t="s">
        <v>388</v>
      </c>
      <c r="C8" s="363">
        <f>C9+C12+C18+C21</f>
        <v>933634000</v>
      </c>
      <c r="D8" s="363">
        <f t="shared" ref="D8:G8" si="1">D9+D12+D18+D21</f>
        <v>33</v>
      </c>
      <c r="E8" s="363"/>
      <c r="F8" s="363">
        <f t="shared" si="1"/>
        <v>948784201.79999995</v>
      </c>
      <c r="G8" s="363">
        <f t="shared" si="1"/>
        <v>0</v>
      </c>
      <c r="H8" s="363">
        <f>F8-C8</f>
        <v>15150201.799999952</v>
      </c>
      <c r="J8" s="348">
        <f>H8+H23</f>
        <v>457000000</v>
      </c>
    </row>
    <row r="9" spans="1:10" s="337" customFormat="1">
      <c r="A9" s="356">
        <v>1</v>
      </c>
      <c r="B9" s="325" t="s">
        <v>183</v>
      </c>
      <c r="C9" s="363">
        <f>C10+C11</f>
        <v>686634000</v>
      </c>
      <c r="D9" s="363">
        <f t="shared" ref="D9:G9" si="2">D10+D11</f>
        <v>11</v>
      </c>
      <c r="E9" s="363">
        <f t="shared" si="2"/>
        <v>7000000</v>
      </c>
      <c r="F9" s="363">
        <f t="shared" si="2"/>
        <v>614784201.79999995</v>
      </c>
      <c r="G9" s="363">
        <f t="shared" si="2"/>
        <v>0</v>
      </c>
      <c r="H9" s="363">
        <f t="shared" ref="H9:H36" si="3">F9-C9</f>
        <v>-71849798.200000048</v>
      </c>
      <c r="J9" s="348"/>
    </row>
    <row r="10" spans="1:10">
      <c r="A10" s="347"/>
      <c r="B10" s="322" t="s">
        <v>382</v>
      </c>
      <c r="C10" s="345">
        <v>686634000</v>
      </c>
      <c r="D10" s="345">
        <v>11</v>
      </c>
      <c r="E10" s="362">
        <v>7000000</v>
      </c>
      <c r="F10" s="345">
        <f>D10*E10</f>
        <v>77000000</v>
      </c>
      <c r="G10" s="345"/>
      <c r="H10" s="363">
        <f t="shared" si="3"/>
        <v>-609634000</v>
      </c>
      <c r="J10" s="340"/>
    </row>
    <row r="11" spans="1:10">
      <c r="A11" s="347"/>
      <c r="B11" s="322" t="s">
        <v>372</v>
      </c>
      <c r="C11" s="345"/>
      <c r="D11" s="345"/>
      <c r="E11" s="362"/>
      <c r="F11" s="345">
        <v>537784201.79999995</v>
      </c>
      <c r="G11" s="345"/>
      <c r="H11" s="363">
        <f t="shared" si="3"/>
        <v>537784201.79999995</v>
      </c>
      <c r="J11" s="340"/>
    </row>
    <row r="12" spans="1:10" s="337" customFormat="1">
      <c r="A12" s="356">
        <v>2</v>
      </c>
      <c r="B12" s="325" t="s">
        <v>379</v>
      </c>
      <c r="C12" s="363">
        <f>C13+C14+C15+C16+C17</f>
        <v>159000000</v>
      </c>
      <c r="D12" s="363">
        <f t="shared" ref="D12:G12" si="4">D13+D14+D15+D16+D17</f>
        <v>12</v>
      </c>
      <c r="E12" s="363">
        <f t="shared" si="4"/>
        <v>7000000</v>
      </c>
      <c r="F12" s="363">
        <f t="shared" si="4"/>
        <v>194000000</v>
      </c>
      <c r="G12" s="363">
        <f t="shared" si="4"/>
        <v>0</v>
      </c>
      <c r="H12" s="363">
        <f t="shared" si="3"/>
        <v>35000000</v>
      </c>
      <c r="J12" s="348"/>
    </row>
    <row r="13" spans="1:10">
      <c r="A13" s="347"/>
      <c r="B13" s="322" t="s">
        <v>382</v>
      </c>
      <c r="C13" s="345">
        <v>99000000</v>
      </c>
      <c r="D13" s="345">
        <v>12</v>
      </c>
      <c r="E13" s="362">
        <v>7000000</v>
      </c>
      <c r="F13" s="345">
        <f t="shared" ref="F13:F34" si="5">D13*E13</f>
        <v>84000000</v>
      </c>
      <c r="G13" s="345"/>
      <c r="H13" s="363">
        <f t="shared" si="3"/>
        <v>-15000000</v>
      </c>
      <c r="J13" s="340"/>
    </row>
    <row r="14" spans="1:10">
      <c r="A14" s="347"/>
      <c r="B14" s="322" t="s">
        <v>372</v>
      </c>
      <c r="C14" s="345"/>
      <c r="D14" s="345"/>
      <c r="E14" s="362"/>
      <c r="F14" s="345">
        <v>20000000</v>
      </c>
      <c r="G14" s="345"/>
      <c r="H14" s="363">
        <f t="shared" si="3"/>
        <v>20000000</v>
      </c>
      <c r="J14" s="340"/>
    </row>
    <row r="15" spans="1:10">
      <c r="A15" s="347"/>
      <c r="B15" s="322" t="s">
        <v>356</v>
      </c>
      <c r="C15" s="345"/>
      <c r="D15" s="345"/>
      <c r="E15" s="362"/>
      <c r="F15" s="345">
        <v>35000000</v>
      </c>
      <c r="G15" s="345"/>
      <c r="H15" s="363">
        <f t="shared" si="3"/>
        <v>35000000</v>
      </c>
      <c r="J15" s="340"/>
    </row>
    <row r="16" spans="1:10">
      <c r="A16" s="347"/>
      <c r="B16" s="322" t="s">
        <v>357</v>
      </c>
      <c r="C16" s="345">
        <v>30000000</v>
      </c>
      <c r="D16" s="345"/>
      <c r="E16" s="362"/>
      <c r="F16" s="345">
        <v>30000000</v>
      </c>
      <c r="G16" s="345"/>
      <c r="H16" s="363">
        <f t="shared" si="3"/>
        <v>0</v>
      </c>
      <c r="J16" s="340"/>
    </row>
    <row r="17" spans="1:10">
      <c r="A17" s="347"/>
      <c r="B17" s="322" t="s">
        <v>366</v>
      </c>
      <c r="C17" s="345">
        <v>30000000</v>
      </c>
      <c r="D17" s="345"/>
      <c r="E17" s="362"/>
      <c r="F17" s="345">
        <v>25000000</v>
      </c>
      <c r="G17" s="345"/>
      <c r="H17" s="363">
        <f t="shared" si="3"/>
        <v>-5000000</v>
      </c>
      <c r="J17" s="340"/>
    </row>
    <row r="18" spans="1:10" s="337" customFormat="1">
      <c r="A18" s="356">
        <v>3</v>
      </c>
      <c r="B18" s="325" t="s">
        <v>383</v>
      </c>
      <c r="C18" s="363">
        <f>C19+C20</f>
        <v>88000000</v>
      </c>
      <c r="D18" s="363">
        <f t="shared" ref="D18:G18" si="6">D19+D20</f>
        <v>10</v>
      </c>
      <c r="E18" s="363">
        <f t="shared" si="6"/>
        <v>7000000</v>
      </c>
      <c r="F18" s="363">
        <f t="shared" si="6"/>
        <v>90000000</v>
      </c>
      <c r="G18" s="363">
        <f t="shared" si="6"/>
        <v>0</v>
      </c>
      <c r="H18" s="363">
        <f t="shared" si="3"/>
        <v>2000000</v>
      </c>
      <c r="J18" s="348"/>
    </row>
    <row r="19" spans="1:10">
      <c r="A19" s="347"/>
      <c r="B19" s="322" t="s">
        <v>382</v>
      </c>
      <c r="C19" s="345">
        <v>88000000</v>
      </c>
      <c r="D19" s="345">
        <v>10</v>
      </c>
      <c r="E19" s="362">
        <v>7000000</v>
      </c>
      <c r="F19" s="345">
        <f t="shared" si="5"/>
        <v>70000000</v>
      </c>
      <c r="G19" s="345"/>
      <c r="H19" s="363">
        <f t="shared" si="3"/>
        <v>-18000000</v>
      </c>
      <c r="J19" s="340"/>
    </row>
    <row r="20" spans="1:10">
      <c r="A20" s="347"/>
      <c r="B20" s="322" t="s">
        <v>372</v>
      </c>
      <c r="C20" s="345"/>
      <c r="D20" s="345"/>
      <c r="E20" s="362"/>
      <c r="F20" s="345">
        <v>20000000</v>
      </c>
      <c r="G20" s="345"/>
      <c r="H20" s="363">
        <f t="shared" si="3"/>
        <v>20000000</v>
      </c>
      <c r="J20" s="340"/>
    </row>
    <row r="21" spans="1:10" s="337" customFormat="1">
      <c r="A21" s="356">
        <v>4</v>
      </c>
      <c r="B21" s="325" t="s">
        <v>387</v>
      </c>
      <c r="C21" s="363"/>
      <c r="D21" s="363"/>
      <c r="E21" s="362"/>
      <c r="F21" s="363">
        <f>F22</f>
        <v>50000000</v>
      </c>
      <c r="G21" s="363"/>
      <c r="H21" s="363">
        <f t="shared" si="3"/>
        <v>50000000</v>
      </c>
      <c r="J21" s="348"/>
    </row>
    <row r="22" spans="1:10">
      <c r="A22" s="347"/>
      <c r="B22" s="322" t="s">
        <v>367</v>
      </c>
      <c r="C22" s="345"/>
      <c r="D22" s="345"/>
      <c r="E22" s="362"/>
      <c r="F22" s="345">
        <v>50000000</v>
      </c>
      <c r="G22" s="345"/>
      <c r="H22" s="363">
        <f t="shared" si="3"/>
        <v>50000000</v>
      </c>
      <c r="J22" s="340"/>
    </row>
    <row r="23" spans="1:10" s="337" customFormat="1">
      <c r="A23" s="356" t="s">
        <v>38</v>
      </c>
      <c r="B23" s="325" t="s">
        <v>181</v>
      </c>
      <c r="C23" s="363">
        <f>C24+C27+C30+C33</f>
        <v>144673003</v>
      </c>
      <c r="D23" s="363">
        <f t="shared" ref="D23:F23" si="7">D24+D27+D30+D33</f>
        <v>24</v>
      </c>
      <c r="E23" s="363">
        <f t="shared" si="7"/>
        <v>28000000</v>
      </c>
      <c r="F23" s="363">
        <f t="shared" si="7"/>
        <v>586522801.20000005</v>
      </c>
      <c r="G23" s="363">
        <f t="shared" ref="G23" si="8">G24+G27+G30+G33</f>
        <v>0</v>
      </c>
      <c r="H23" s="363">
        <f t="shared" si="3"/>
        <v>441849798.20000005</v>
      </c>
      <c r="J23" s="348"/>
    </row>
    <row r="24" spans="1:10" s="337" customFormat="1">
      <c r="A24" s="356">
        <v>1</v>
      </c>
      <c r="B24" s="325" t="s">
        <v>181</v>
      </c>
      <c r="C24" s="363">
        <f>C25+C26</f>
        <v>144673003</v>
      </c>
      <c r="D24" s="363">
        <f t="shared" ref="D24:G24" si="9">D25+D26</f>
        <v>10</v>
      </c>
      <c r="E24" s="363">
        <f t="shared" si="9"/>
        <v>7000000</v>
      </c>
      <c r="F24" s="363">
        <f t="shared" si="9"/>
        <v>428522801.20000005</v>
      </c>
      <c r="G24" s="363">
        <f t="shared" si="9"/>
        <v>0</v>
      </c>
      <c r="H24" s="363">
        <f t="shared" si="3"/>
        <v>283849798.20000005</v>
      </c>
      <c r="J24" s="348"/>
    </row>
    <row r="25" spans="1:10">
      <c r="A25" s="347"/>
      <c r="B25" s="322" t="s">
        <v>382</v>
      </c>
      <c r="C25" s="345">
        <v>144673003</v>
      </c>
      <c r="D25" s="345">
        <v>10</v>
      </c>
      <c r="E25" s="362">
        <v>7000000</v>
      </c>
      <c r="F25" s="345">
        <f t="shared" si="5"/>
        <v>70000000</v>
      </c>
      <c r="G25" s="345"/>
      <c r="H25" s="363">
        <f t="shared" si="3"/>
        <v>-74673003</v>
      </c>
      <c r="J25" s="340"/>
    </row>
    <row r="26" spans="1:10">
      <c r="A26" s="347"/>
      <c r="B26" s="322" t="s">
        <v>372</v>
      </c>
      <c r="C26" s="345"/>
      <c r="D26" s="345"/>
      <c r="E26" s="362"/>
      <c r="F26" s="340">
        <v>358522801.20000005</v>
      </c>
      <c r="G26" s="345"/>
      <c r="H26" s="363">
        <f t="shared" si="3"/>
        <v>358522801.20000005</v>
      </c>
      <c r="J26" s="340"/>
    </row>
    <row r="27" spans="1:10" s="337" customFormat="1">
      <c r="A27" s="356">
        <v>2</v>
      </c>
      <c r="B27" s="325" t="s">
        <v>384</v>
      </c>
      <c r="C27" s="363">
        <f>C28+C29</f>
        <v>0</v>
      </c>
      <c r="D27" s="363">
        <f t="shared" ref="D27:G27" si="10">D28+D29</f>
        <v>7</v>
      </c>
      <c r="E27" s="363">
        <f t="shared" si="10"/>
        <v>7000000</v>
      </c>
      <c r="F27" s="363">
        <f t="shared" si="10"/>
        <v>69000000</v>
      </c>
      <c r="G27" s="363">
        <f t="shared" si="10"/>
        <v>0</v>
      </c>
      <c r="H27" s="363">
        <f t="shared" si="3"/>
        <v>69000000</v>
      </c>
      <c r="J27" s="348"/>
    </row>
    <row r="28" spans="1:10">
      <c r="A28" s="347"/>
      <c r="B28" s="322" t="s">
        <v>382</v>
      </c>
      <c r="C28" s="345"/>
      <c r="D28" s="345">
        <v>7</v>
      </c>
      <c r="E28" s="362">
        <v>7000000</v>
      </c>
      <c r="F28" s="345">
        <f t="shared" si="5"/>
        <v>49000000</v>
      </c>
      <c r="G28" s="345"/>
      <c r="H28" s="363">
        <f t="shared" si="3"/>
        <v>49000000</v>
      </c>
      <c r="J28" s="340"/>
    </row>
    <row r="29" spans="1:10">
      <c r="A29" s="347"/>
      <c r="B29" s="322" t="s">
        <v>372</v>
      </c>
      <c r="C29" s="345"/>
      <c r="D29" s="345"/>
      <c r="E29" s="362"/>
      <c r="F29" s="345">
        <v>20000000</v>
      </c>
      <c r="G29" s="345"/>
      <c r="H29" s="363">
        <f t="shared" si="3"/>
        <v>20000000</v>
      </c>
      <c r="J29" s="340"/>
    </row>
    <row r="30" spans="1:10" s="337" customFormat="1">
      <c r="A30" s="356">
        <v>3</v>
      </c>
      <c r="B30" s="325" t="s">
        <v>385</v>
      </c>
      <c r="C30" s="363">
        <f>C31+C32</f>
        <v>0</v>
      </c>
      <c r="D30" s="363">
        <f t="shared" ref="D30:G30" si="11">D31+D32</f>
        <v>5</v>
      </c>
      <c r="E30" s="363">
        <f t="shared" si="11"/>
        <v>7000000</v>
      </c>
      <c r="F30" s="363">
        <f t="shared" si="11"/>
        <v>55000000</v>
      </c>
      <c r="G30" s="363">
        <f t="shared" si="11"/>
        <v>0</v>
      </c>
      <c r="H30" s="363">
        <f t="shared" si="3"/>
        <v>55000000</v>
      </c>
      <c r="J30" s="348"/>
    </row>
    <row r="31" spans="1:10">
      <c r="A31" s="347"/>
      <c r="B31" s="322" t="s">
        <v>382</v>
      </c>
      <c r="C31" s="345"/>
      <c r="D31" s="345">
        <v>5</v>
      </c>
      <c r="E31" s="362">
        <v>7000000</v>
      </c>
      <c r="F31" s="345">
        <f t="shared" si="5"/>
        <v>35000000</v>
      </c>
      <c r="G31" s="345"/>
      <c r="H31" s="363">
        <f t="shared" si="3"/>
        <v>35000000</v>
      </c>
      <c r="J31" s="340"/>
    </row>
    <row r="32" spans="1:10">
      <c r="A32" s="347"/>
      <c r="B32" s="322" t="s">
        <v>372</v>
      </c>
      <c r="C32" s="345"/>
      <c r="D32" s="345"/>
      <c r="E32" s="362"/>
      <c r="F32" s="345">
        <v>20000000</v>
      </c>
      <c r="G32" s="345"/>
      <c r="H32" s="363">
        <f t="shared" si="3"/>
        <v>20000000</v>
      </c>
      <c r="J32" s="340"/>
    </row>
    <row r="33" spans="1:10" s="337" customFormat="1">
      <c r="A33" s="356">
        <v>4</v>
      </c>
      <c r="B33" s="325" t="s">
        <v>386</v>
      </c>
      <c r="C33" s="363">
        <f>C34+C35</f>
        <v>0</v>
      </c>
      <c r="D33" s="363">
        <f t="shared" ref="D33:G33" si="12">D34+D35</f>
        <v>2</v>
      </c>
      <c r="E33" s="363">
        <f t="shared" si="12"/>
        <v>7000000</v>
      </c>
      <c r="F33" s="363">
        <f t="shared" si="12"/>
        <v>34000000</v>
      </c>
      <c r="G33" s="363">
        <f t="shared" si="12"/>
        <v>0</v>
      </c>
      <c r="H33" s="363">
        <f t="shared" si="3"/>
        <v>34000000</v>
      </c>
      <c r="J33" s="348"/>
    </row>
    <row r="34" spans="1:10">
      <c r="A34" s="347"/>
      <c r="B34" s="322" t="s">
        <v>382</v>
      </c>
      <c r="C34" s="345"/>
      <c r="D34" s="345">
        <v>2</v>
      </c>
      <c r="E34" s="362">
        <v>7000000</v>
      </c>
      <c r="F34" s="345">
        <f t="shared" si="5"/>
        <v>14000000</v>
      </c>
      <c r="G34" s="345"/>
      <c r="H34" s="363">
        <f t="shared" si="3"/>
        <v>14000000</v>
      </c>
      <c r="J34" s="340"/>
    </row>
    <row r="35" spans="1:10">
      <c r="A35" s="347"/>
      <c r="B35" s="322" t="s">
        <v>372</v>
      </c>
      <c r="C35" s="345"/>
      <c r="D35" s="345"/>
      <c r="E35" s="362"/>
      <c r="F35" s="345">
        <v>20000000</v>
      </c>
      <c r="G35" s="345"/>
      <c r="H35" s="363">
        <f t="shared" si="3"/>
        <v>20000000</v>
      </c>
      <c r="J35" s="340"/>
    </row>
    <row r="36" spans="1:10" s="337" customFormat="1">
      <c r="A36" s="356" t="s">
        <v>43</v>
      </c>
      <c r="B36" s="325" t="s">
        <v>365</v>
      </c>
      <c r="C36" s="357">
        <v>457000000</v>
      </c>
      <c r="D36" s="363"/>
      <c r="E36" s="362"/>
      <c r="F36" s="363"/>
      <c r="G36" s="363"/>
      <c r="H36" s="363">
        <f t="shared" si="3"/>
        <v>-457000000</v>
      </c>
    </row>
    <row r="37" spans="1:10" ht="16.2" thickBot="1">
      <c r="A37" s="404" t="s">
        <v>170</v>
      </c>
      <c r="B37" s="405"/>
      <c r="C37" s="335">
        <f>C36+C23+C8</f>
        <v>1535307003</v>
      </c>
      <c r="D37" s="335"/>
      <c r="E37" s="335"/>
      <c r="F37" s="335">
        <f t="shared" ref="F37:H37" si="13">F36+F23+F8</f>
        <v>1535307003</v>
      </c>
      <c r="G37" s="335">
        <f t="shared" si="13"/>
        <v>0</v>
      </c>
      <c r="H37" s="335">
        <f t="shared" si="13"/>
        <v>0</v>
      </c>
    </row>
    <row r="38" spans="1:10" ht="16.2" thickTop="1">
      <c r="A38" s="462"/>
      <c r="B38" s="463"/>
      <c r="C38" s="463"/>
      <c r="D38" s="463"/>
      <c r="E38" s="463"/>
      <c r="F38" s="463"/>
      <c r="G38" s="463"/>
      <c r="H38" s="463"/>
    </row>
    <row r="39" spans="1:10" ht="39.75" customHeight="1">
      <c r="A39" s="464"/>
      <c r="B39" s="464"/>
      <c r="C39" s="464"/>
      <c r="D39" s="464"/>
      <c r="E39" s="464"/>
      <c r="F39" s="464"/>
      <c r="G39" s="464"/>
      <c r="H39" s="464"/>
    </row>
    <row r="40" spans="1:10">
      <c r="C40" s="340"/>
    </row>
    <row r="41" spans="1:10">
      <c r="C41" s="340"/>
    </row>
    <row r="42" spans="1:10">
      <c r="C42" s="340"/>
    </row>
    <row r="43" spans="1:10">
      <c r="C43" s="340"/>
    </row>
    <row r="44" spans="1:10">
      <c r="C44" s="340"/>
    </row>
    <row r="69" spans="3:5">
      <c r="C69" s="311" t="s">
        <v>362</v>
      </c>
      <c r="D69" s="359">
        <v>686634000</v>
      </c>
    </row>
    <row r="70" spans="3:5">
      <c r="C70" s="311" t="s">
        <v>96</v>
      </c>
      <c r="D70" s="359">
        <v>159000000</v>
      </c>
    </row>
    <row r="71" spans="3:5">
      <c r="D71" s="359">
        <v>55000000</v>
      </c>
    </row>
    <row r="72" spans="3:5">
      <c r="D72" s="359">
        <v>88000000</v>
      </c>
    </row>
    <row r="73" spans="3:5">
      <c r="C73" s="311" t="s">
        <v>364</v>
      </c>
      <c r="D73" s="359" t="e">
        <f>#REF!</f>
        <v>#REF!</v>
      </c>
    </row>
    <row r="74" spans="3:5">
      <c r="C74" s="311" t="s">
        <v>344</v>
      </c>
      <c r="D74" s="359" t="e">
        <f>#REF!</f>
        <v>#REF!</v>
      </c>
    </row>
    <row r="75" spans="3:5">
      <c r="C75" s="311" t="s">
        <v>363</v>
      </c>
      <c r="D75" s="359">
        <v>457000000</v>
      </c>
      <c r="E75" s="359" t="e">
        <f>C7+#REF!</f>
        <v>#REF!</v>
      </c>
    </row>
    <row r="76" spans="3:5">
      <c r="D76" s="359" t="e">
        <f>SUM(D69:D75)</f>
        <v>#REF!</v>
      </c>
      <c r="E76" s="360" t="e">
        <f>C37-E75</f>
        <v>#REF!</v>
      </c>
    </row>
    <row r="77" spans="3:5">
      <c r="D77" s="358"/>
    </row>
    <row r="78" spans="3:5">
      <c r="D78" s="314"/>
    </row>
  </sheetData>
  <mergeCells count="8">
    <mergeCell ref="A38:H39"/>
    <mergeCell ref="A37:B37"/>
    <mergeCell ref="A4:H4"/>
    <mergeCell ref="A3:H3"/>
    <mergeCell ref="A1:B1"/>
    <mergeCell ref="C1:G1"/>
    <mergeCell ref="A2:B2"/>
    <mergeCell ref="C2:G2"/>
  </mergeCells>
  <pageMargins left="0.35" right="0.23" top="0.2" bottom="0.2" header="0.3" footer="0.3"/>
  <pageSetup paperSize="9" orientation="landscape" verticalDpi="0" r:id="rId1"/>
  <headerFooter>
    <oddFooter>&amp;C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C4" sqref="C4"/>
    </sheetView>
  </sheetViews>
  <sheetFormatPr defaultColWidth="9.109375" defaultRowHeight="15.6"/>
  <cols>
    <col min="1" max="1" width="4.6640625" style="311" customWidth="1"/>
    <col min="2" max="2" width="62.33203125" style="311" customWidth="1"/>
    <col min="3" max="3" width="26.5546875" style="313" customWidth="1"/>
    <col min="4" max="4" width="9.109375" style="311"/>
    <col min="5" max="5" width="14" style="311" bestFit="1" customWidth="1"/>
    <col min="6" max="16384" width="9.109375" style="311"/>
  </cols>
  <sheetData>
    <row r="1" spans="1:5">
      <c r="A1" s="401" t="s">
        <v>355</v>
      </c>
      <c r="B1" s="401"/>
      <c r="C1" s="401"/>
    </row>
    <row r="2" spans="1:5">
      <c r="A2" s="397" t="s">
        <v>375</v>
      </c>
      <c r="B2" s="397"/>
      <c r="C2" s="397"/>
    </row>
    <row r="3" spans="1:5" ht="16.2" thickBot="1">
      <c r="A3" s="370"/>
      <c r="B3" s="370"/>
      <c r="D3" s="364"/>
      <c r="E3" s="364"/>
    </row>
    <row r="4" spans="1:5" ht="124.5" customHeight="1" thickTop="1">
      <c r="A4" s="333" t="s">
        <v>168</v>
      </c>
      <c r="B4" s="317" t="s">
        <v>313</v>
      </c>
      <c r="C4" s="317" t="s">
        <v>389</v>
      </c>
    </row>
    <row r="5" spans="1:5" s="337" customFormat="1" ht="31.5" customHeight="1">
      <c r="A5" s="356" t="s">
        <v>12</v>
      </c>
      <c r="B5" s="325" t="s">
        <v>388</v>
      </c>
      <c r="C5" s="363">
        <f>C6+C7</f>
        <v>85000000</v>
      </c>
      <c r="E5" s="348"/>
    </row>
    <row r="6" spans="1:5">
      <c r="A6" s="347"/>
      <c r="B6" s="322" t="s">
        <v>356</v>
      </c>
      <c r="C6" s="345">
        <v>35000000</v>
      </c>
      <c r="E6" s="340"/>
    </row>
    <row r="7" spans="1:5">
      <c r="A7" s="347"/>
      <c r="B7" s="322" t="s">
        <v>367</v>
      </c>
      <c r="C7" s="345">
        <v>50000000</v>
      </c>
      <c r="E7" s="340"/>
    </row>
    <row r="8" spans="1:5" s="337" customFormat="1">
      <c r="A8" s="356" t="s">
        <v>38</v>
      </c>
      <c r="B8" s="325" t="s">
        <v>181</v>
      </c>
      <c r="C8" s="363">
        <f>457000000-C5</f>
        <v>372000000</v>
      </c>
      <c r="E8" s="348"/>
    </row>
    <row r="9" spans="1:5" ht="16.2" thickBot="1">
      <c r="A9" s="404" t="s">
        <v>170</v>
      </c>
      <c r="B9" s="405"/>
      <c r="C9" s="335">
        <f>C8+C5</f>
        <v>457000000</v>
      </c>
    </row>
    <row r="10" spans="1:5" ht="16.2" thickTop="1">
      <c r="A10" s="462"/>
      <c r="B10" s="463"/>
      <c r="C10" s="463"/>
    </row>
    <row r="11" spans="1:5" ht="39.75" customHeight="1">
      <c r="A11" s="464"/>
      <c r="B11" s="464"/>
      <c r="C11" s="464"/>
    </row>
    <row r="41" spans="1:5" s="313" customFormat="1">
      <c r="A41" s="311"/>
      <c r="B41" s="311"/>
      <c r="D41" s="311"/>
      <c r="E41" s="311"/>
    </row>
    <row r="42" spans="1:5" s="313" customFormat="1">
      <c r="A42" s="311"/>
      <c r="B42" s="311"/>
      <c r="D42" s="311"/>
      <c r="E42" s="311"/>
    </row>
    <row r="43" spans="1:5" s="313" customFormat="1">
      <c r="A43" s="311"/>
      <c r="B43" s="311"/>
      <c r="D43" s="311"/>
      <c r="E43" s="311"/>
    </row>
    <row r="44" spans="1:5" s="313" customFormat="1">
      <c r="A44" s="311"/>
      <c r="B44" s="311"/>
      <c r="D44" s="311"/>
      <c r="E44" s="311"/>
    </row>
    <row r="45" spans="1:5" s="313" customFormat="1">
      <c r="A45" s="311"/>
      <c r="B45" s="311"/>
      <c r="D45" s="311"/>
      <c r="E45" s="311"/>
    </row>
    <row r="46" spans="1:5" s="313" customFormat="1">
      <c r="A46" s="311"/>
      <c r="B46" s="311"/>
      <c r="D46" s="311"/>
      <c r="E46" s="311"/>
    </row>
    <row r="47" spans="1:5" s="313" customFormat="1">
      <c r="A47" s="311"/>
      <c r="B47" s="311"/>
      <c r="D47" s="311"/>
      <c r="E47" s="311"/>
    </row>
    <row r="48" spans="1:5" s="313" customFormat="1">
      <c r="A48" s="311"/>
      <c r="B48" s="311"/>
      <c r="D48" s="311"/>
      <c r="E48" s="311"/>
    </row>
    <row r="49" spans="1:5" s="313" customFormat="1">
      <c r="A49" s="311"/>
      <c r="B49" s="311"/>
      <c r="D49" s="311"/>
      <c r="E49" s="311"/>
    </row>
    <row r="50" spans="1:5" s="313" customFormat="1">
      <c r="A50" s="311"/>
      <c r="B50" s="311"/>
      <c r="D50" s="311"/>
      <c r="E50" s="311"/>
    </row>
  </sheetData>
  <mergeCells count="4">
    <mergeCell ref="A9:B9"/>
    <mergeCell ref="A10:C11"/>
    <mergeCell ref="A1:C1"/>
    <mergeCell ref="A2:C2"/>
  </mergeCells>
  <pageMargins left="0.35" right="0.23" top="0.2" bottom="0.2" header="0.3" footer="0.3"/>
  <pageSetup paperSize="9" orientation="landscape" verticalDpi="0" r:id="rId1"/>
  <headerFooter>
    <oddFooter>&amp;C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4" workbookViewId="0">
      <selection activeCell="D25" sqref="D25"/>
    </sheetView>
  </sheetViews>
  <sheetFormatPr defaultColWidth="9.109375" defaultRowHeight="15.6"/>
  <cols>
    <col min="1" max="1" width="4.6640625" style="311" customWidth="1"/>
    <col min="2" max="2" width="55.88671875" style="311" customWidth="1"/>
    <col min="3" max="3" width="12.6640625" style="311" customWidth="1"/>
    <col min="4" max="4" width="18.88671875" style="311" customWidth="1"/>
    <col min="5" max="5" width="24.5546875" style="313" customWidth="1"/>
    <col min="6" max="6" width="19.88671875" style="313" customWidth="1"/>
    <col min="7" max="7" width="9.109375" style="311"/>
    <col min="8" max="9" width="14" style="311" bestFit="1" customWidth="1"/>
    <col min="10" max="16384" width="9.109375" style="311"/>
  </cols>
  <sheetData>
    <row r="1" spans="1:9" s="337" customFormat="1">
      <c r="A1" s="401" t="s">
        <v>311</v>
      </c>
      <c r="B1" s="401"/>
      <c r="C1" s="401"/>
      <c r="D1" s="401"/>
      <c r="E1" s="401"/>
      <c r="F1" s="401"/>
    </row>
    <row r="2" spans="1:9" s="337" customFormat="1">
      <c r="A2" s="401" t="s">
        <v>312</v>
      </c>
      <c r="B2" s="401"/>
      <c r="C2" s="401"/>
      <c r="D2" s="401"/>
      <c r="E2" s="401"/>
      <c r="F2" s="401"/>
    </row>
    <row r="3" spans="1:9">
      <c r="A3" s="401" t="s">
        <v>355</v>
      </c>
      <c r="B3" s="401"/>
      <c r="C3" s="401"/>
      <c r="D3" s="401"/>
      <c r="E3" s="401"/>
      <c r="F3" s="401"/>
    </row>
    <row r="4" spans="1:9">
      <c r="A4" s="397" t="s">
        <v>375</v>
      </c>
      <c r="B4" s="397"/>
      <c r="C4" s="397"/>
      <c r="D4" s="397"/>
      <c r="E4" s="397"/>
      <c r="F4" s="397"/>
    </row>
    <row r="5" spans="1:9" ht="16.2" thickBot="1">
      <c r="A5" s="366"/>
      <c r="B5" s="366"/>
      <c r="C5" s="366"/>
      <c r="D5" s="366"/>
      <c r="G5" s="364"/>
      <c r="H5" s="364"/>
    </row>
    <row r="6" spans="1:9" ht="124.5" customHeight="1" thickTop="1">
      <c r="A6" s="333" t="s">
        <v>168</v>
      </c>
      <c r="B6" s="317" t="s">
        <v>313</v>
      </c>
      <c r="C6" s="317" t="s">
        <v>358</v>
      </c>
      <c r="D6" s="317" t="s">
        <v>359</v>
      </c>
      <c r="E6" s="317" t="s">
        <v>360</v>
      </c>
      <c r="F6" s="317" t="s">
        <v>368</v>
      </c>
    </row>
    <row r="7" spans="1:9" s="337" customFormat="1">
      <c r="A7" s="361" t="s">
        <v>12</v>
      </c>
      <c r="B7" s="362" t="s">
        <v>361</v>
      </c>
      <c r="C7" s="362"/>
      <c r="D7" s="362"/>
      <c r="E7" s="362"/>
      <c r="F7" s="363"/>
    </row>
    <row r="8" spans="1:9">
      <c r="A8" s="347">
        <v>1</v>
      </c>
      <c r="B8" s="322" t="s">
        <v>376</v>
      </c>
      <c r="C8" s="345"/>
      <c r="D8" s="362"/>
      <c r="E8" s="345">
        <f>C8*D8</f>
        <v>0</v>
      </c>
      <c r="F8" s="345"/>
      <c r="H8" s="340"/>
    </row>
    <row r="9" spans="1:9">
      <c r="A9" s="347"/>
      <c r="B9" s="322" t="s">
        <v>372</v>
      </c>
      <c r="C9" s="345"/>
      <c r="D9" s="362"/>
      <c r="E9" s="363">
        <v>649184202</v>
      </c>
      <c r="F9" s="345"/>
      <c r="H9" s="340"/>
    </row>
    <row r="10" spans="1:9">
      <c r="A10" s="347">
        <v>2</v>
      </c>
      <c r="B10" s="322" t="s">
        <v>379</v>
      </c>
      <c r="D10" s="369"/>
      <c r="E10" s="348">
        <f>E11+E12+E13+E14</f>
        <v>210000000</v>
      </c>
      <c r="F10" s="345"/>
    </row>
    <row r="11" spans="1:9">
      <c r="A11" s="347"/>
      <c r="B11" s="322" t="s">
        <v>356</v>
      </c>
      <c r="C11" s="345"/>
      <c r="D11" s="345"/>
      <c r="E11" s="345">
        <v>35000000</v>
      </c>
      <c r="F11" s="345"/>
    </row>
    <row r="12" spans="1:9">
      <c r="A12" s="347"/>
      <c r="B12" s="322" t="s">
        <v>357</v>
      </c>
      <c r="C12" s="345"/>
      <c r="D12" s="345"/>
      <c r="E12" s="345">
        <v>30000000</v>
      </c>
      <c r="F12" s="345"/>
    </row>
    <row r="13" spans="1:9">
      <c r="A13" s="347"/>
      <c r="B13" s="322" t="s">
        <v>366</v>
      </c>
      <c r="C13" s="345"/>
      <c r="D13" s="345"/>
      <c r="E13" s="345">
        <v>25000000</v>
      </c>
      <c r="F13" s="345"/>
    </row>
    <row r="14" spans="1:9">
      <c r="A14" s="347"/>
      <c r="B14" s="322" t="s">
        <v>372</v>
      </c>
      <c r="C14" s="345">
        <v>12</v>
      </c>
      <c r="D14" s="362">
        <v>10000000</v>
      </c>
      <c r="E14" s="345">
        <f t="shared" ref="E14" si="0">C14*D14</f>
        <v>120000000</v>
      </c>
      <c r="F14" s="345"/>
    </row>
    <row r="15" spans="1:9">
      <c r="A15" s="347">
        <v>3</v>
      </c>
      <c r="B15" s="322" t="s">
        <v>380</v>
      </c>
      <c r="E15" s="348">
        <f>E16</f>
        <v>100000000</v>
      </c>
      <c r="F15" s="345"/>
    </row>
    <row r="16" spans="1:9">
      <c r="A16" s="347"/>
      <c r="B16" s="322" t="s">
        <v>372</v>
      </c>
      <c r="C16" s="345">
        <v>10</v>
      </c>
      <c r="D16" s="362">
        <v>10000000</v>
      </c>
      <c r="E16" s="345">
        <f>C16*D16</f>
        <v>100000000</v>
      </c>
      <c r="F16" s="345"/>
      <c r="I16" s="340"/>
    </row>
    <row r="17" spans="1:9">
      <c r="A17" s="371">
        <v>4</v>
      </c>
      <c r="B17" s="367" t="s">
        <v>381</v>
      </c>
      <c r="C17" s="368"/>
      <c r="D17" s="372"/>
      <c r="E17" s="368">
        <f>E18</f>
        <v>50000000</v>
      </c>
      <c r="F17" s="368"/>
      <c r="I17" s="340"/>
    </row>
    <row r="18" spans="1:9">
      <c r="A18" s="371"/>
      <c r="B18" s="322" t="s">
        <v>367</v>
      </c>
      <c r="C18" s="368"/>
      <c r="D18" s="372"/>
      <c r="E18" s="368">
        <v>50000000</v>
      </c>
      <c r="F18" s="368"/>
      <c r="I18" s="340"/>
    </row>
    <row r="19" spans="1:9" ht="16.2" thickBot="1">
      <c r="A19" s="404" t="s">
        <v>170</v>
      </c>
      <c r="B19" s="405"/>
      <c r="C19" s="335"/>
      <c r="D19" s="335"/>
      <c r="E19" s="335">
        <f>E9+E10+E15+E18</f>
        <v>1009184202</v>
      </c>
      <c r="F19" s="335"/>
    </row>
    <row r="20" spans="1:9" ht="16.2" thickTop="1"/>
    <row r="49" spans="1:8" s="313" customFormat="1">
      <c r="A49" s="311"/>
      <c r="B49" s="311"/>
      <c r="C49" s="359">
        <v>686634000</v>
      </c>
      <c r="D49" s="311"/>
      <c r="G49" s="311"/>
      <c r="H49" s="311"/>
    </row>
    <row r="50" spans="1:8" s="313" customFormat="1">
      <c r="A50" s="311"/>
      <c r="B50" s="311"/>
      <c r="C50" s="359">
        <v>159000000</v>
      </c>
      <c r="D50" s="311"/>
      <c r="G50" s="311"/>
      <c r="H50" s="311"/>
    </row>
    <row r="51" spans="1:8" s="313" customFormat="1">
      <c r="A51" s="311"/>
      <c r="B51" s="311"/>
      <c r="C51" s="359">
        <v>55000000</v>
      </c>
      <c r="D51" s="311"/>
      <c r="G51" s="311"/>
      <c r="H51" s="311"/>
    </row>
    <row r="52" spans="1:8" s="313" customFormat="1">
      <c r="A52" s="311"/>
      <c r="B52" s="311"/>
      <c r="C52" s="359">
        <v>88000000</v>
      </c>
      <c r="D52" s="311"/>
      <c r="G52" s="311"/>
      <c r="H52" s="311"/>
    </row>
    <row r="53" spans="1:8" s="313" customFormat="1">
      <c r="A53" s="311"/>
      <c r="B53" s="311"/>
      <c r="C53" s="359" t="e">
        <f>#REF!</f>
        <v>#REF!</v>
      </c>
      <c r="D53" s="311"/>
      <c r="G53" s="311"/>
      <c r="H53" s="311"/>
    </row>
    <row r="54" spans="1:8" s="313" customFormat="1">
      <c r="A54" s="311"/>
      <c r="B54" s="311"/>
      <c r="C54" s="359" t="e">
        <f>#REF!</f>
        <v>#REF!</v>
      </c>
      <c r="D54" s="311"/>
      <c r="G54" s="311"/>
      <c r="H54" s="311"/>
    </row>
    <row r="55" spans="1:8" s="313" customFormat="1">
      <c r="A55" s="311"/>
      <c r="B55" s="311"/>
      <c r="C55" s="359">
        <v>457000000</v>
      </c>
      <c r="D55" s="359" t="e">
        <f>#REF!+#REF!</f>
        <v>#REF!</v>
      </c>
      <c r="G55" s="311"/>
      <c r="H55" s="311"/>
    </row>
    <row r="56" spans="1:8" s="313" customFormat="1">
      <c r="A56" s="311"/>
      <c r="B56" s="311"/>
      <c r="C56" s="359" t="e">
        <f>SUM(C49:C55)</f>
        <v>#REF!</v>
      </c>
      <c r="D56" s="360" t="e">
        <f>#REF!-D55</f>
        <v>#REF!</v>
      </c>
      <c r="G56" s="311"/>
      <c r="H56" s="311"/>
    </row>
    <row r="57" spans="1:8" s="313" customFormat="1">
      <c r="A57" s="311"/>
      <c r="B57" s="311"/>
      <c r="C57" s="358"/>
      <c r="D57" s="311"/>
      <c r="G57" s="311"/>
      <c r="H57" s="311"/>
    </row>
    <row r="58" spans="1:8" s="313" customFormat="1">
      <c r="A58" s="311"/>
      <c r="B58" s="311"/>
      <c r="C58" s="314"/>
      <c r="D58" s="311"/>
      <c r="G58" s="311"/>
      <c r="H58" s="311"/>
    </row>
  </sheetData>
  <mergeCells count="7">
    <mergeCell ref="A19:B19"/>
    <mergeCell ref="A1:B1"/>
    <mergeCell ref="C1:F1"/>
    <mergeCell ref="A2:B2"/>
    <mergeCell ref="C2:F2"/>
    <mergeCell ref="A3:F3"/>
    <mergeCell ref="A4:F4"/>
  </mergeCells>
  <pageMargins left="0.35" right="0.23" top="0.2" bottom="0.2" header="0.3" footer="0.3"/>
  <pageSetup paperSize="9" orientation="landscape" verticalDpi="0" r:id="rId1"/>
  <headerFooter>
    <oddFooter>&amp;C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33"/>
  <sheetViews>
    <sheetView topLeftCell="A10" workbookViewId="0">
      <selection activeCell="E30" sqref="E30"/>
    </sheetView>
  </sheetViews>
  <sheetFormatPr defaultRowHeight="14.4"/>
  <cols>
    <col min="2" max="2" width="21.6640625" customWidth="1"/>
    <col min="3" max="3" width="15.33203125" style="74" bestFit="1" customWidth="1"/>
    <col min="4" max="4" width="14.33203125" style="74" bestFit="1" customWidth="1"/>
    <col min="5" max="6" width="12.5546875" bestFit="1" customWidth="1"/>
  </cols>
  <sheetData>
    <row r="5" spans="2:2">
      <c r="B5" t="s">
        <v>333</v>
      </c>
    </row>
    <row r="6" spans="2:2">
      <c r="B6" t="s">
        <v>334</v>
      </c>
    </row>
    <row r="7" spans="2:2">
      <c r="B7" t="s">
        <v>335</v>
      </c>
    </row>
    <row r="8" spans="2:2">
      <c r="B8" t="s">
        <v>336</v>
      </c>
    </row>
    <row r="19" spans="1:7">
      <c r="B19" t="s">
        <v>340</v>
      </c>
      <c r="C19" s="74" t="s">
        <v>341</v>
      </c>
    </row>
    <row r="21" spans="1:7" s="177" customFormat="1">
      <c r="A21" s="177">
        <v>1</v>
      </c>
      <c r="B21" s="177" t="s">
        <v>353</v>
      </c>
      <c r="C21" s="75">
        <f>C22+C23</f>
        <v>272819003</v>
      </c>
      <c r="D21" s="75"/>
    </row>
    <row r="22" spans="1:7">
      <c r="B22" t="s">
        <v>342</v>
      </c>
      <c r="C22" s="74">
        <v>128146000</v>
      </c>
    </row>
    <row r="23" spans="1:7">
      <c r="B23" t="s">
        <v>343</v>
      </c>
      <c r="C23" s="74">
        <v>144673003</v>
      </c>
      <c r="E23">
        <v>381057000</v>
      </c>
      <c r="F23" s="109">
        <f>D24-E23</f>
        <v>101709250</v>
      </c>
    </row>
    <row r="24" spans="1:7" s="177" customFormat="1">
      <c r="A24" s="177">
        <v>2</v>
      </c>
      <c r="B24" s="177" t="s">
        <v>344</v>
      </c>
      <c r="C24" s="75">
        <f>SUM(C25:C29)</f>
        <v>240919751</v>
      </c>
      <c r="D24" s="75">
        <f>SUM(D25:D29)</f>
        <v>482766250</v>
      </c>
      <c r="E24" s="75" t="s">
        <v>346</v>
      </c>
      <c r="G24" s="355" t="s">
        <v>351</v>
      </c>
    </row>
    <row r="25" spans="1:7">
      <c r="B25" t="s">
        <v>345</v>
      </c>
      <c r="C25" s="74">
        <v>42826216</v>
      </c>
      <c r="D25" s="74">
        <v>95484250</v>
      </c>
      <c r="G25" t="s">
        <v>352</v>
      </c>
    </row>
    <row r="26" spans="1:7">
      <c r="B26" t="s">
        <v>347</v>
      </c>
      <c r="C26" s="74">
        <v>37033276</v>
      </c>
      <c r="D26" s="74">
        <v>92844250</v>
      </c>
    </row>
    <row r="27" spans="1:7">
      <c r="B27" t="s">
        <v>349</v>
      </c>
      <c r="C27" s="74">
        <v>47654364</v>
      </c>
      <c r="D27" s="74">
        <v>92844250</v>
      </c>
    </row>
    <row r="28" spans="1:7">
      <c r="B28" t="s">
        <v>348</v>
      </c>
      <c r="C28" s="74">
        <v>59982050</v>
      </c>
      <c r="D28" s="74">
        <v>99884250</v>
      </c>
      <c r="E28" t="s">
        <v>354</v>
      </c>
    </row>
    <row r="29" spans="1:7">
      <c r="B29" t="s">
        <v>350</v>
      </c>
      <c r="C29" s="74">
        <v>53423845</v>
      </c>
      <c r="D29" s="74">
        <v>101709250</v>
      </c>
      <c r="E29">
        <v>112500000</v>
      </c>
      <c r="F29" s="109"/>
    </row>
    <row r="30" spans="1:7">
      <c r="C30" s="77">
        <f>C24/10</f>
        <v>24091975.100000001</v>
      </c>
      <c r="E30">
        <f>E29/2</f>
        <v>56250000</v>
      </c>
    </row>
    <row r="31" spans="1:7">
      <c r="E31" s="109">
        <f>C24-E30</f>
        <v>184669751</v>
      </c>
      <c r="F31" s="109">
        <f>E31/10</f>
        <v>18466975.100000001</v>
      </c>
    </row>
    <row r="32" spans="1:7">
      <c r="C32" s="74">
        <f>C30-15000000</f>
        <v>9091975.1000000015</v>
      </c>
      <c r="F32">
        <v>150000000</v>
      </c>
    </row>
    <row r="33" spans="6:6">
      <c r="F33" s="109">
        <f>F31*10-F32</f>
        <v>34669751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3"/>
  <sheetViews>
    <sheetView workbookViewId="0">
      <selection activeCell="A7" sqref="A7"/>
    </sheetView>
  </sheetViews>
  <sheetFormatPr defaultColWidth="9.109375" defaultRowHeight="15.6"/>
  <cols>
    <col min="1" max="1" width="9.109375" style="311"/>
    <col min="2" max="2" width="29.44140625" style="311" customWidth="1"/>
    <col min="3" max="4" width="17.109375" style="311" customWidth="1"/>
    <col min="5" max="5" width="19.6640625" style="311" customWidth="1"/>
    <col min="6" max="6" width="15.6640625" style="311" bestFit="1" customWidth="1"/>
    <col min="7" max="7" width="9.109375" style="311"/>
    <col min="8" max="8" width="14" style="311" bestFit="1" customWidth="1"/>
    <col min="9" max="16384" width="9.109375" style="311"/>
  </cols>
  <sheetData>
    <row r="1" spans="1:8">
      <c r="E1" s="400" t="s">
        <v>325</v>
      </c>
      <c r="F1" s="400"/>
    </row>
    <row r="2" spans="1:8" s="337" customFormat="1">
      <c r="A2" s="401" t="s">
        <v>311</v>
      </c>
      <c r="B2" s="401"/>
      <c r="C2" s="401" t="s">
        <v>314</v>
      </c>
      <c r="D2" s="401"/>
      <c r="E2" s="401"/>
      <c r="F2" s="401"/>
      <c r="G2" s="401"/>
      <c r="H2" s="401"/>
    </row>
    <row r="3" spans="1:8" s="337" customFormat="1">
      <c r="A3" s="401" t="s">
        <v>312</v>
      </c>
      <c r="B3" s="401"/>
      <c r="C3" s="401" t="s">
        <v>315</v>
      </c>
      <c r="D3" s="401"/>
      <c r="E3" s="401"/>
      <c r="F3" s="401"/>
      <c r="G3" s="401"/>
      <c r="H3" s="401"/>
    </row>
    <row r="4" spans="1:8" s="337" customFormat="1">
      <c r="A4" s="338"/>
      <c r="B4" s="338"/>
      <c r="C4" s="338"/>
      <c r="D4" s="341"/>
      <c r="E4" s="338"/>
      <c r="F4" s="338"/>
    </row>
    <row r="5" spans="1:8">
      <c r="A5" s="401" t="s">
        <v>322</v>
      </c>
      <c r="B5" s="401"/>
      <c r="C5" s="401"/>
      <c r="D5" s="401"/>
      <c r="E5" s="401"/>
      <c r="F5" s="401"/>
    </row>
    <row r="6" spans="1:8">
      <c r="A6" s="397" t="str">
        <f>'PL3 PHAN BO KINH PHI QD95 (2)'!A6:E6</f>
        <v>(Kèm theo Nghị quyết số     /NQ-HĐND ngày     tháng 10 năm 2025 của HĐND  xã Sơn Hà)</v>
      </c>
      <c r="B6" s="397"/>
      <c r="C6" s="397"/>
      <c r="D6" s="397"/>
      <c r="E6" s="397"/>
      <c r="F6" s="397"/>
    </row>
    <row r="7" spans="1:8">
      <c r="A7" s="339"/>
      <c r="B7" s="339"/>
      <c r="C7" s="339"/>
      <c r="D7" s="342"/>
      <c r="E7" s="339"/>
      <c r="F7" s="339"/>
    </row>
    <row r="8" spans="1:8" ht="16.2" thickBot="1"/>
    <row r="9" spans="1:8" ht="94.2" thickTop="1">
      <c r="A9" s="333" t="s">
        <v>168</v>
      </c>
      <c r="B9" s="317" t="s">
        <v>313</v>
      </c>
      <c r="C9" s="317" t="s">
        <v>338</v>
      </c>
      <c r="D9" s="317" t="s">
        <v>317</v>
      </c>
      <c r="E9" s="317" t="s">
        <v>399</v>
      </c>
      <c r="F9" s="318" t="s">
        <v>332</v>
      </c>
    </row>
    <row r="10" spans="1:8" ht="62.4">
      <c r="A10" s="347">
        <v>1</v>
      </c>
      <c r="B10" s="396" t="s">
        <v>320</v>
      </c>
      <c r="C10" s="386">
        <v>390485509</v>
      </c>
      <c r="D10" s="386">
        <v>324778309</v>
      </c>
      <c r="E10" s="386">
        <f>D10-C10</f>
        <v>-65707200</v>
      </c>
      <c r="F10" s="387">
        <f>D10</f>
        <v>324778309</v>
      </c>
      <c r="H10" s="340"/>
    </row>
    <row r="11" spans="1:8" ht="31.2">
      <c r="A11" s="347">
        <v>2</v>
      </c>
      <c r="B11" s="396" t="s">
        <v>184</v>
      </c>
      <c r="C11" s="386">
        <v>0</v>
      </c>
      <c r="D11" s="386">
        <v>65707200</v>
      </c>
      <c r="E11" s="386">
        <f>D11-C11</f>
        <v>65707200</v>
      </c>
      <c r="F11" s="387">
        <f>D11</f>
        <v>65707200</v>
      </c>
    </row>
    <row r="12" spans="1:8" ht="27" customHeight="1" thickBot="1">
      <c r="A12" s="398" t="s">
        <v>170</v>
      </c>
      <c r="B12" s="399"/>
      <c r="C12" s="391">
        <f>SUM(C10:C11)</f>
        <v>390485509</v>
      </c>
      <c r="D12" s="391">
        <f t="shared" ref="D12:E12" si="0">SUM(D10:D11)</f>
        <v>390485509</v>
      </c>
      <c r="E12" s="391">
        <f t="shared" si="0"/>
        <v>0</v>
      </c>
      <c r="F12" s="392">
        <f>SUM(F10:F11)</f>
        <v>390485509</v>
      </c>
    </row>
    <row r="13" spans="1:8" ht="16.2" thickTop="1"/>
  </sheetData>
  <mergeCells count="8">
    <mergeCell ref="A6:F6"/>
    <mergeCell ref="A12:B12"/>
    <mergeCell ref="E1:F1"/>
    <mergeCell ref="A2:B2"/>
    <mergeCell ref="A3:B3"/>
    <mergeCell ref="A5:F5"/>
    <mergeCell ref="C2:H2"/>
    <mergeCell ref="C3:H3"/>
  </mergeCells>
  <pageMargins left="0.31" right="0.3"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6"/>
  <sheetViews>
    <sheetView tabSelected="1" topLeftCell="A28" workbookViewId="0">
      <selection activeCell="A6" sqref="A6:E6"/>
    </sheetView>
  </sheetViews>
  <sheetFormatPr defaultColWidth="9.109375" defaultRowHeight="15.6"/>
  <cols>
    <col min="1" max="1" width="6.88671875" style="374" customWidth="1"/>
    <col min="2" max="2" width="39" style="376" customWidth="1"/>
    <col min="3" max="3" width="17.88671875" style="311" customWidth="1"/>
    <col min="4" max="4" width="20.6640625" style="311" customWidth="1"/>
    <col min="5" max="5" width="17.6640625" style="311" customWidth="1"/>
    <col min="6" max="16384" width="9.109375" style="311"/>
  </cols>
  <sheetData>
    <row r="1" spans="1:5">
      <c r="D1" s="400" t="s">
        <v>323</v>
      </c>
      <c r="E1" s="400"/>
    </row>
    <row r="2" spans="1:5" s="337" customFormat="1">
      <c r="A2" s="401" t="s">
        <v>311</v>
      </c>
      <c r="B2" s="401"/>
      <c r="C2" s="401" t="s">
        <v>314</v>
      </c>
      <c r="D2" s="401"/>
      <c r="E2" s="401"/>
    </row>
    <row r="3" spans="1:5" s="337" customFormat="1">
      <c r="A3" s="401" t="s">
        <v>312</v>
      </c>
      <c r="B3" s="401"/>
      <c r="C3" s="401" t="s">
        <v>315</v>
      </c>
      <c r="D3" s="401"/>
      <c r="E3" s="401"/>
    </row>
    <row r="4" spans="1:5" s="337" customFormat="1">
      <c r="A4" s="375"/>
      <c r="B4" s="393"/>
      <c r="C4" s="351"/>
      <c r="D4" s="351"/>
      <c r="E4" s="351"/>
    </row>
    <row r="5" spans="1:5">
      <c r="A5" s="401" t="s">
        <v>339</v>
      </c>
      <c r="B5" s="401"/>
      <c r="C5" s="401"/>
      <c r="D5" s="401"/>
      <c r="E5" s="401"/>
    </row>
    <row r="6" spans="1:5">
      <c r="A6" s="397" t="s">
        <v>401</v>
      </c>
      <c r="B6" s="397"/>
      <c r="C6" s="397"/>
      <c r="D6" s="397"/>
      <c r="E6" s="397"/>
    </row>
    <row r="7" spans="1:5">
      <c r="A7" s="373"/>
      <c r="B7" s="394"/>
      <c r="C7" s="352"/>
      <c r="D7" s="352"/>
      <c r="E7" s="352"/>
    </row>
    <row r="8" spans="1:5" ht="16.2" thickBot="1"/>
    <row r="9" spans="1:5" ht="31.8" thickTop="1">
      <c r="A9" s="333" t="s">
        <v>168</v>
      </c>
      <c r="B9" s="317" t="s">
        <v>313</v>
      </c>
      <c r="C9" s="317" t="s">
        <v>370</v>
      </c>
      <c r="D9" s="317" t="s">
        <v>371</v>
      </c>
      <c r="E9" s="318" t="s">
        <v>373</v>
      </c>
    </row>
    <row r="10" spans="1:5" s="337" customFormat="1">
      <c r="A10" s="361" t="s">
        <v>12</v>
      </c>
      <c r="B10" s="395" t="s">
        <v>376</v>
      </c>
      <c r="C10" s="362">
        <f>SUM(C11:C15)</f>
        <v>0</v>
      </c>
      <c r="D10" s="362">
        <f t="shared" ref="D10:E10" si="0">SUM(D11:D15)</f>
        <v>176300000</v>
      </c>
      <c r="E10" s="378">
        <f t="shared" si="0"/>
        <v>176300000</v>
      </c>
    </row>
    <row r="11" spans="1:5">
      <c r="A11" s="379">
        <v>1</v>
      </c>
      <c r="B11" s="396" t="s">
        <v>397</v>
      </c>
      <c r="C11" s="380"/>
      <c r="D11" s="380">
        <v>61300000</v>
      </c>
      <c r="E11" s="381">
        <f t="shared" ref="E11:E24" si="1">C11+D11</f>
        <v>61300000</v>
      </c>
    </row>
    <row r="12" spans="1:5">
      <c r="A12" s="379">
        <v>2</v>
      </c>
      <c r="B12" s="396" t="s">
        <v>398</v>
      </c>
      <c r="C12" s="380">
        <v>0</v>
      </c>
      <c r="D12" s="380">
        <v>20000000</v>
      </c>
      <c r="E12" s="381">
        <f t="shared" si="1"/>
        <v>20000000</v>
      </c>
    </row>
    <row r="13" spans="1:5">
      <c r="A13" s="379">
        <v>3</v>
      </c>
      <c r="B13" s="396" t="s">
        <v>395</v>
      </c>
      <c r="C13" s="380"/>
      <c r="D13" s="380">
        <v>35000000</v>
      </c>
      <c r="E13" s="381">
        <f t="shared" si="1"/>
        <v>35000000</v>
      </c>
    </row>
    <row r="14" spans="1:5" ht="31.2">
      <c r="A14" s="379">
        <v>4</v>
      </c>
      <c r="B14" s="396" t="s">
        <v>396</v>
      </c>
      <c r="C14" s="380"/>
      <c r="D14" s="380">
        <v>50000000</v>
      </c>
      <c r="E14" s="381">
        <f t="shared" si="1"/>
        <v>50000000</v>
      </c>
    </row>
    <row r="15" spans="1:5" ht="31.2">
      <c r="A15" s="379">
        <v>5</v>
      </c>
      <c r="B15" s="396" t="s">
        <v>400</v>
      </c>
      <c r="C15" s="380"/>
      <c r="D15" s="380">
        <v>10000000</v>
      </c>
      <c r="E15" s="381">
        <f t="shared" si="1"/>
        <v>10000000</v>
      </c>
    </row>
    <row r="16" spans="1:5" s="337" customFormat="1">
      <c r="A16" s="361" t="s">
        <v>38</v>
      </c>
      <c r="B16" s="395" t="s">
        <v>181</v>
      </c>
      <c r="C16" s="363">
        <f>SUM(C17:C21)</f>
        <v>1884130341.0000005</v>
      </c>
      <c r="D16" s="363">
        <f t="shared" ref="D16:E16" si="2">SUM(D17:D21)</f>
        <v>280700000</v>
      </c>
      <c r="E16" s="382">
        <f t="shared" si="2"/>
        <v>2164830341.0000005</v>
      </c>
    </row>
    <row r="17" spans="1:5">
      <c r="A17" s="379">
        <v>1</v>
      </c>
      <c r="B17" s="396" t="s">
        <v>374</v>
      </c>
      <c r="C17" s="345">
        <f>'de hop1'!F11</f>
        <v>1884130341.0000005</v>
      </c>
      <c r="D17" s="345"/>
      <c r="E17" s="381">
        <f t="shared" si="1"/>
        <v>1884130341.0000005</v>
      </c>
    </row>
    <row r="18" spans="1:5">
      <c r="A18" s="379">
        <v>2</v>
      </c>
      <c r="B18" s="396" t="s">
        <v>391</v>
      </c>
      <c r="C18" s="345"/>
      <c r="D18" s="345">
        <v>148700000</v>
      </c>
      <c r="E18" s="381">
        <f t="shared" si="1"/>
        <v>148700000</v>
      </c>
    </row>
    <row r="19" spans="1:5">
      <c r="A19" s="379">
        <v>3</v>
      </c>
      <c r="B19" s="396" t="s">
        <v>392</v>
      </c>
      <c r="C19" s="345"/>
      <c r="D19" s="345">
        <v>56000000</v>
      </c>
      <c r="E19" s="381">
        <f t="shared" si="1"/>
        <v>56000000</v>
      </c>
    </row>
    <row r="20" spans="1:5">
      <c r="A20" s="379">
        <v>4</v>
      </c>
      <c r="B20" s="396" t="s">
        <v>393</v>
      </c>
      <c r="C20" s="345"/>
      <c r="D20" s="345">
        <v>46000000</v>
      </c>
      <c r="E20" s="381">
        <f t="shared" si="1"/>
        <v>46000000</v>
      </c>
    </row>
    <row r="21" spans="1:5">
      <c r="A21" s="379">
        <v>5</v>
      </c>
      <c r="B21" s="396" t="s">
        <v>394</v>
      </c>
      <c r="C21" s="345"/>
      <c r="D21" s="345">
        <v>30000000</v>
      </c>
      <c r="E21" s="381">
        <f t="shared" si="1"/>
        <v>30000000</v>
      </c>
    </row>
    <row r="22" spans="1:5" s="337" customFormat="1" ht="31.2">
      <c r="A22" s="361" t="s">
        <v>43</v>
      </c>
      <c r="B22" s="395" t="s">
        <v>184</v>
      </c>
      <c r="C22" s="363">
        <f>C23</f>
        <v>35090816</v>
      </c>
      <c r="D22" s="363">
        <f t="shared" ref="D22:E22" si="3">D23</f>
        <v>0</v>
      </c>
      <c r="E22" s="382">
        <f t="shared" si="3"/>
        <v>35090816</v>
      </c>
    </row>
    <row r="23" spans="1:5">
      <c r="A23" s="379"/>
      <c r="B23" s="396" t="s">
        <v>374</v>
      </c>
      <c r="C23" s="345">
        <f>'de hop1'!F13</f>
        <v>35090816</v>
      </c>
      <c r="D23" s="345"/>
      <c r="E23" s="381">
        <f t="shared" si="1"/>
        <v>35090816</v>
      </c>
    </row>
    <row r="24" spans="1:5" s="337" customFormat="1">
      <c r="A24" s="361" t="s">
        <v>51</v>
      </c>
      <c r="B24" s="395" t="s">
        <v>329</v>
      </c>
      <c r="C24" s="363">
        <f>'de hop1'!F14</f>
        <v>969778843</v>
      </c>
      <c r="D24" s="363"/>
      <c r="E24" s="378">
        <f t="shared" si="1"/>
        <v>969778843</v>
      </c>
    </row>
    <row r="25" spans="1:5" ht="16.2" thickBot="1">
      <c r="A25" s="402" t="s">
        <v>170</v>
      </c>
      <c r="B25" s="403"/>
      <c r="C25" s="377">
        <f>C10+C16+C22+C24</f>
        <v>2889000000.0000005</v>
      </c>
      <c r="D25" s="377">
        <f>D10+D16+D22+D24</f>
        <v>457000000</v>
      </c>
      <c r="E25" s="383">
        <f>E10+E16+E22+E24</f>
        <v>3346000000.0000005</v>
      </c>
    </row>
    <row r="26" spans="1:5" ht="16.2" thickTop="1"/>
  </sheetData>
  <mergeCells count="8">
    <mergeCell ref="A6:E6"/>
    <mergeCell ref="A25:B25"/>
    <mergeCell ref="D1:E1"/>
    <mergeCell ref="A2:B2"/>
    <mergeCell ref="C2:E2"/>
    <mergeCell ref="A3:B3"/>
    <mergeCell ref="C3:E3"/>
    <mergeCell ref="A5:E5"/>
  </mergeCells>
  <pageMargins left="0.7" right="0.2"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7" workbookViewId="0">
      <selection activeCell="D9" sqref="D9"/>
    </sheetView>
  </sheetViews>
  <sheetFormatPr defaultColWidth="9.109375" defaultRowHeight="15.6"/>
  <cols>
    <col min="1" max="1" width="6.88671875" style="311" customWidth="1"/>
    <col min="2" max="2" width="26.44140625" style="311" customWidth="1"/>
    <col min="3" max="3" width="17.88671875" style="311" customWidth="1"/>
    <col min="4" max="4" width="20.6640625" style="311" customWidth="1"/>
    <col min="5" max="5" width="17.6640625" style="311" customWidth="1"/>
    <col min="6" max="6" width="15.6640625" style="313" bestFit="1" customWidth="1"/>
    <col min="7" max="7" width="17.5546875" style="313" customWidth="1"/>
    <col min="8" max="8" width="15.44140625" style="311" customWidth="1"/>
    <col min="9" max="16384" width="9.109375" style="311"/>
  </cols>
  <sheetData>
    <row r="1" spans="1:8">
      <c r="G1" s="354"/>
    </row>
    <row r="2" spans="1:8" s="337" customFormat="1">
      <c r="A2" s="401" t="s">
        <v>311</v>
      </c>
      <c r="B2" s="401"/>
      <c r="C2" s="401" t="s">
        <v>314</v>
      </c>
      <c r="D2" s="401"/>
      <c r="E2" s="401"/>
      <c r="F2" s="401"/>
      <c r="G2" s="401"/>
    </row>
    <row r="3" spans="1:8" s="337" customFormat="1">
      <c r="A3" s="401" t="s">
        <v>312</v>
      </c>
      <c r="B3" s="401"/>
      <c r="C3" s="401" t="s">
        <v>315</v>
      </c>
      <c r="D3" s="401"/>
      <c r="E3" s="401"/>
      <c r="F3" s="401"/>
      <c r="G3" s="401"/>
    </row>
    <row r="4" spans="1:8" s="337" customFormat="1">
      <c r="A4" s="343"/>
      <c r="B4" s="343"/>
      <c r="C4" s="343"/>
      <c r="D4" s="343"/>
      <c r="E4" s="343"/>
      <c r="F4" s="353"/>
      <c r="G4" s="353"/>
    </row>
    <row r="5" spans="1:8">
      <c r="A5" s="401" t="s">
        <v>318</v>
      </c>
      <c r="B5" s="401"/>
      <c r="C5" s="401"/>
      <c r="D5" s="401"/>
      <c r="E5" s="401"/>
      <c r="F5" s="401"/>
      <c r="G5" s="401"/>
    </row>
    <row r="6" spans="1:8">
      <c r="A6" s="397" t="s">
        <v>321</v>
      </c>
      <c r="B6" s="397"/>
      <c r="C6" s="397"/>
      <c r="D6" s="397"/>
      <c r="E6" s="397"/>
      <c r="F6" s="397"/>
      <c r="G6" s="397"/>
    </row>
    <row r="7" spans="1:8">
      <c r="A7" s="344"/>
      <c r="B7" s="344"/>
      <c r="C7" s="344"/>
      <c r="D7" s="344"/>
      <c r="E7" s="344"/>
      <c r="F7" s="406" t="s">
        <v>316</v>
      </c>
      <c r="G7" s="406"/>
    </row>
    <row r="8" spans="1:8" ht="16.2" thickBot="1"/>
    <row r="9" spans="1:8" ht="124.5" customHeight="1" thickTop="1">
      <c r="A9" s="333" t="s">
        <v>168</v>
      </c>
      <c r="B9" s="317" t="s">
        <v>313</v>
      </c>
      <c r="C9" s="317" t="s">
        <v>186</v>
      </c>
      <c r="D9" s="317" t="s">
        <v>338</v>
      </c>
      <c r="E9" s="317" t="s">
        <v>304</v>
      </c>
      <c r="F9" s="317" t="s">
        <v>328</v>
      </c>
      <c r="G9" s="317" t="s">
        <v>331</v>
      </c>
      <c r="H9" s="318" t="s">
        <v>7</v>
      </c>
    </row>
    <row r="10" spans="1:8" ht="78">
      <c r="A10" s="347">
        <v>1</v>
      </c>
      <c r="B10" s="322" t="s">
        <v>320</v>
      </c>
      <c r="C10" s="345">
        <v>2978486460</v>
      </c>
      <c r="D10" s="345">
        <v>3007834723</v>
      </c>
      <c r="E10" s="345">
        <f>C10-D10</f>
        <v>-29348263</v>
      </c>
      <c r="F10" s="345"/>
      <c r="G10" s="345">
        <f>C10</f>
        <v>2978486460</v>
      </c>
      <c r="H10" s="346" t="s">
        <v>337</v>
      </c>
    </row>
    <row r="11" spans="1:8" ht="31.2">
      <c r="A11" s="347">
        <v>2</v>
      </c>
      <c r="B11" s="322" t="s">
        <v>181</v>
      </c>
      <c r="C11" s="334">
        <v>2432626080.0000005</v>
      </c>
      <c r="D11" s="334">
        <v>548495739</v>
      </c>
      <c r="E11" s="345">
        <f t="shared" ref="E11:E13" si="0">C11-D11</f>
        <v>1884130341.0000005</v>
      </c>
      <c r="F11" s="345">
        <f>E11</f>
        <v>1884130341.0000005</v>
      </c>
      <c r="G11" s="345">
        <f>C11</f>
        <v>2432626080.0000005</v>
      </c>
      <c r="H11" s="346"/>
    </row>
    <row r="12" spans="1:8" ht="31.2">
      <c r="A12" s="347">
        <v>3</v>
      </c>
      <c r="B12" s="322" t="s">
        <v>182</v>
      </c>
      <c r="C12" s="334">
        <v>775940138.99999976</v>
      </c>
      <c r="D12" s="334">
        <v>1041212051</v>
      </c>
      <c r="E12" s="345">
        <f t="shared" si="0"/>
        <v>-265271912.00000024</v>
      </c>
      <c r="F12" s="345"/>
      <c r="G12" s="345">
        <f>C12</f>
        <v>775940138.99999976</v>
      </c>
      <c r="H12" s="346" t="s">
        <v>337</v>
      </c>
    </row>
    <row r="13" spans="1:8" ht="31.2">
      <c r="A13" s="347">
        <v>4</v>
      </c>
      <c r="B13" s="322" t="s">
        <v>184</v>
      </c>
      <c r="C13" s="334">
        <v>252722106</v>
      </c>
      <c r="D13" s="334">
        <v>217631290</v>
      </c>
      <c r="E13" s="345">
        <f t="shared" si="0"/>
        <v>35090816</v>
      </c>
      <c r="F13" s="345">
        <f>E13</f>
        <v>35090816</v>
      </c>
      <c r="G13" s="345">
        <f>C13</f>
        <v>252722106</v>
      </c>
      <c r="H13" s="346"/>
    </row>
    <row r="14" spans="1:8" ht="24.75" customHeight="1">
      <c r="A14" s="347">
        <v>5</v>
      </c>
      <c r="B14" s="322" t="s">
        <v>329</v>
      </c>
      <c r="C14" s="334"/>
      <c r="D14" s="334"/>
      <c r="E14" s="345"/>
      <c r="F14" s="345">
        <v>969778843</v>
      </c>
      <c r="G14" s="345">
        <f>F14-E10-E12</f>
        <v>1264399018.0000002</v>
      </c>
      <c r="H14" s="346"/>
    </row>
    <row r="15" spans="1:8" ht="20.25" customHeight="1" thickBot="1">
      <c r="A15" s="404" t="s">
        <v>170</v>
      </c>
      <c r="B15" s="405"/>
      <c r="C15" s="335">
        <f>SUM(C10:C14)</f>
        <v>6439774785</v>
      </c>
      <c r="D15" s="335">
        <f t="shared" ref="D15:G15" si="1">SUM(D10:D14)</f>
        <v>4815173803</v>
      </c>
      <c r="E15" s="335">
        <f t="shared" si="1"/>
        <v>1624600982.0000002</v>
      </c>
      <c r="F15" s="335">
        <f t="shared" si="1"/>
        <v>2889000000.0000005</v>
      </c>
      <c r="G15" s="335">
        <f t="shared" si="1"/>
        <v>7704173803</v>
      </c>
      <c r="H15" s="336">
        <f>SUM(H10:H14)</f>
        <v>0</v>
      </c>
    </row>
    <row r="16" spans="1:8" ht="16.2" thickTop="1"/>
  </sheetData>
  <mergeCells count="8">
    <mergeCell ref="A15:B15"/>
    <mergeCell ref="A5:G5"/>
    <mergeCell ref="A6:G6"/>
    <mergeCell ref="C2:G2"/>
    <mergeCell ref="C3:G3"/>
    <mergeCell ref="A2:B2"/>
    <mergeCell ref="A3:B3"/>
    <mergeCell ref="F7:G7"/>
  </mergeCells>
  <pageMargins left="0.52" right="0.21" top="0.44"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2"/>
  <sheetViews>
    <sheetView workbookViewId="0">
      <selection activeCell="C12" sqref="C12"/>
    </sheetView>
  </sheetViews>
  <sheetFormatPr defaultColWidth="9.109375" defaultRowHeight="18"/>
  <cols>
    <col min="1" max="1" width="8.88671875" style="2" customWidth="1"/>
    <col min="2" max="2" width="61.33203125" style="1" customWidth="1"/>
    <col min="3" max="3" width="14.109375" style="66" customWidth="1"/>
    <col min="4" max="5" width="14.109375" style="66" hidden="1" customWidth="1"/>
    <col min="6" max="6" width="17.6640625" style="66" hidden="1" customWidth="1"/>
    <col min="7" max="7" width="17.5546875" style="66" bestFit="1" customWidth="1"/>
    <col min="8" max="8" width="18.5546875" style="66" bestFit="1" customWidth="1"/>
    <col min="9" max="9" width="14.109375" style="1" customWidth="1"/>
    <col min="10" max="10" width="12.6640625" style="1" customWidth="1"/>
    <col min="11" max="11" width="10.109375" style="1" customWidth="1"/>
    <col min="12" max="12" width="22" style="1" bestFit="1" customWidth="1"/>
    <col min="13" max="16384" width="9.109375" style="1"/>
  </cols>
  <sheetData>
    <row r="1" spans="1:12">
      <c r="A1" s="408" t="s">
        <v>0</v>
      </c>
      <c r="B1" s="408"/>
      <c r="C1" s="408"/>
      <c r="D1" s="408"/>
      <c r="E1" s="408"/>
      <c r="F1" s="408"/>
      <c r="G1" s="408"/>
      <c r="H1" s="408"/>
      <c r="I1" s="408"/>
      <c r="J1" s="408"/>
    </row>
    <row r="2" spans="1:12">
      <c r="A2" s="408" t="s">
        <v>1</v>
      </c>
      <c r="B2" s="408"/>
      <c r="C2" s="408"/>
      <c r="D2" s="408"/>
      <c r="E2" s="408"/>
      <c r="F2" s="408"/>
      <c r="G2" s="408"/>
      <c r="H2" s="408"/>
      <c r="I2" s="408"/>
      <c r="J2" s="408"/>
    </row>
    <row r="3" spans="1:12">
      <c r="A3" s="408" t="s">
        <v>2</v>
      </c>
      <c r="B3" s="408"/>
      <c r="C3" s="408"/>
      <c r="D3" s="408"/>
      <c r="E3" s="408"/>
      <c r="F3" s="408"/>
      <c r="G3" s="408"/>
      <c r="H3" s="408"/>
      <c r="I3" s="408"/>
      <c r="J3" s="408"/>
    </row>
    <row r="4" spans="1:12">
      <c r="A4" s="409" t="s">
        <v>305</v>
      </c>
      <c r="B4" s="409"/>
      <c r="C4" s="409"/>
      <c r="D4" s="409"/>
      <c r="E4" s="409"/>
      <c r="F4" s="409"/>
      <c r="G4" s="409"/>
      <c r="H4" s="409"/>
      <c r="I4" s="409"/>
      <c r="J4" s="409"/>
    </row>
    <row r="5" spans="1:12" ht="18.600000000000001" thickBot="1">
      <c r="B5" s="3"/>
      <c r="C5" s="56"/>
      <c r="D5" s="56"/>
      <c r="E5" s="56"/>
      <c r="F5" s="56"/>
      <c r="G5" s="56"/>
      <c r="H5" s="56"/>
      <c r="I5" s="4"/>
      <c r="J5" s="3" t="s">
        <v>3</v>
      </c>
    </row>
    <row r="6" spans="1:12" s="9" customFormat="1" ht="34.200000000000003" thickTop="1">
      <c r="A6" s="5" t="s">
        <v>4</v>
      </c>
      <c r="B6" s="6" t="s">
        <v>5</v>
      </c>
      <c r="C6" s="57" t="s">
        <v>6</v>
      </c>
      <c r="D6" s="57" t="s">
        <v>74</v>
      </c>
      <c r="E6" s="57" t="s">
        <v>75</v>
      </c>
      <c r="F6" s="57"/>
      <c r="G6" s="57" t="s">
        <v>72</v>
      </c>
      <c r="H6" s="57" t="s">
        <v>73</v>
      </c>
      <c r="I6" s="6"/>
      <c r="J6" s="7" t="s">
        <v>7</v>
      </c>
      <c r="K6" s="8"/>
      <c r="L6" s="8"/>
    </row>
    <row r="7" spans="1:12" s="9" customFormat="1">
      <c r="A7" s="10" t="s">
        <v>8</v>
      </c>
      <c r="B7" s="11" t="s">
        <v>9</v>
      </c>
      <c r="C7" s="67"/>
      <c r="D7" s="67"/>
      <c r="E7" s="67"/>
      <c r="F7" s="67"/>
      <c r="G7" s="67"/>
      <c r="H7" s="67"/>
      <c r="I7" s="78"/>
      <c r="J7" s="12"/>
    </row>
    <row r="8" spans="1:12" s="18" customFormat="1" ht="16.8">
      <c r="A8" s="13" t="s">
        <v>10</v>
      </c>
      <c r="B8" s="14" t="s">
        <v>11</v>
      </c>
      <c r="C8" s="68">
        <f>C9+C31+C35+C38+C42+C45+C49+C58+C76</f>
        <v>24788.189875</v>
      </c>
      <c r="D8" s="68"/>
      <c r="E8" s="68"/>
      <c r="F8" s="68"/>
      <c r="G8" s="68">
        <f>G9+G31+G35+G38+G42+G45+G49+G58+G76</f>
        <v>13691.267678999999</v>
      </c>
      <c r="H8" s="68">
        <f>H9+H31+H35+H38+H42+H45+H49+H58+H76</f>
        <v>11096.922196</v>
      </c>
      <c r="I8" s="145"/>
      <c r="J8" s="15"/>
      <c r="K8" s="16"/>
      <c r="L8" s="17">
        <f>C8*1000000</f>
        <v>24788189875</v>
      </c>
    </row>
    <row r="9" spans="1:12" s="23" customFormat="1" ht="16.8">
      <c r="A9" s="19" t="s">
        <v>12</v>
      </c>
      <c r="B9" s="20" t="s">
        <v>13</v>
      </c>
      <c r="C9" s="58">
        <f>C10+C11+C12+C13+C14+C15+C16+C17+C18+C19+C22+C23+C26+C30</f>
        <v>12405.955425000002</v>
      </c>
      <c r="D9" s="58"/>
      <c r="E9" s="58"/>
      <c r="F9" s="58"/>
      <c r="G9" s="58">
        <f t="shared" ref="G9:H9" si="0">G10+G11+G12+G13+G14+G15+G16+G17+G18+G19+G22+G23+G26+G30</f>
        <v>6547.58871</v>
      </c>
      <c r="H9" s="58">
        <f t="shared" si="0"/>
        <v>5858.3667150000001</v>
      </c>
      <c r="I9" s="146"/>
      <c r="J9" s="21"/>
      <c r="K9" s="22"/>
      <c r="L9" s="17"/>
    </row>
    <row r="10" spans="1:12" s="165" customFormat="1">
      <c r="A10" s="158">
        <v>1</v>
      </c>
      <c r="B10" s="159" t="s">
        <v>14</v>
      </c>
      <c r="C10" s="160">
        <v>5791.0252760000003</v>
      </c>
      <c r="D10" s="160"/>
      <c r="E10" s="160">
        <f>521.30496+5813.79854-326.446934-217.63129</f>
        <v>5791.0252760000003</v>
      </c>
      <c r="F10" s="160"/>
      <c r="G10" s="160">
        <f>255.245409+2999.5383</f>
        <v>3254.7837090000003</v>
      </c>
      <c r="H10" s="160">
        <f>C10-G10</f>
        <v>2536.241567</v>
      </c>
      <c r="I10" s="161"/>
      <c r="J10" s="162"/>
      <c r="K10" s="163"/>
      <c r="L10" s="164"/>
    </row>
    <row r="11" spans="1:12" s="26" customFormat="1">
      <c r="A11" s="27">
        <v>2</v>
      </c>
      <c r="B11" s="140" t="s">
        <v>15</v>
      </c>
      <c r="C11" s="59">
        <v>800.27980000000002</v>
      </c>
      <c r="D11" s="59"/>
      <c r="E11" s="59"/>
      <c r="F11" s="59"/>
      <c r="G11" s="59">
        <v>409.79429099999999</v>
      </c>
      <c r="H11" s="59">
        <f t="shared" ref="H11:H78" si="1">C11-G11</f>
        <v>390.48550900000004</v>
      </c>
      <c r="I11" s="147"/>
      <c r="J11" s="24"/>
      <c r="K11" s="25"/>
      <c r="L11" s="17"/>
    </row>
    <row r="12" spans="1:12" s="26" customFormat="1">
      <c r="A12" s="27">
        <v>3</v>
      </c>
      <c r="B12" s="140" t="s">
        <v>16</v>
      </c>
      <c r="C12" s="59">
        <v>873.28800000000001</v>
      </c>
      <c r="D12" s="59"/>
      <c r="E12" s="59"/>
      <c r="F12" s="59"/>
      <c r="G12" s="59">
        <v>453.49200000000002</v>
      </c>
      <c r="H12" s="59">
        <f t="shared" si="1"/>
        <v>419.79599999999999</v>
      </c>
      <c r="I12" s="147"/>
      <c r="J12" s="24"/>
      <c r="K12" s="25"/>
      <c r="L12" s="17"/>
    </row>
    <row r="13" spans="1:12" s="26" customFormat="1">
      <c r="A13" s="27">
        <v>4</v>
      </c>
      <c r="B13" s="28" t="s">
        <v>17</v>
      </c>
      <c r="C13" s="59">
        <v>433.49225999999999</v>
      </c>
      <c r="D13" s="59"/>
      <c r="E13" s="59"/>
      <c r="F13" s="59"/>
      <c r="G13" s="59">
        <v>199.393022</v>
      </c>
      <c r="H13" s="59">
        <f t="shared" si="1"/>
        <v>234.09923799999999</v>
      </c>
      <c r="I13" s="147"/>
      <c r="J13" s="24"/>
      <c r="K13" s="25"/>
      <c r="L13" s="17"/>
    </row>
    <row r="14" spans="1:12" s="26" customFormat="1">
      <c r="A14" s="27">
        <v>5</v>
      </c>
      <c r="B14" s="140" t="s">
        <v>18</v>
      </c>
      <c r="C14" s="59">
        <v>530.71199999999999</v>
      </c>
      <c r="D14" s="59"/>
      <c r="E14" s="59"/>
      <c r="F14" s="59"/>
      <c r="G14" s="59">
        <v>235.87200000000001</v>
      </c>
      <c r="H14" s="59">
        <f t="shared" si="1"/>
        <v>294.83999999999997</v>
      </c>
      <c r="I14" s="147"/>
      <c r="J14" s="24"/>
      <c r="K14" s="25"/>
      <c r="L14" s="17"/>
    </row>
    <row r="15" spans="1:12" s="26" customFormat="1">
      <c r="A15" s="27">
        <v>6</v>
      </c>
      <c r="B15" s="28" t="s">
        <v>19</v>
      </c>
      <c r="C15" s="59">
        <v>2109.080645</v>
      </c>
      <c r="D15" s="59"/>
      <c r="E15" s="59"/>
      <c r="F15" s="59"/>
      <c r="G15" s="59">
        <v>1422.447095</v>
      </c>
      <c r="H15" s="59">
        <f t="shared" si="1"/>
        <v>686.63355000000001</v>
      </c>
      <c r="I15" s="147"/>
      <c r="J15" s="24"/>
      <c r="K15" s="25"/>
      <c r="L15" s="17"/>
    </row>
    <row r="16" spans="1:12" s="26" customFormat="1">
      <c r="A16" s="27">
        <v>7</v>
      </c>
      <c r="B16" s="28" t="s">
        <v>20</v>
      </c>
      <c r="C16" s="59">
        <v>144</v>
      </c>
      <c r="D16" s="59"/>
      <c r="E16" s="59"/>
      <c r="F16" s="59"/>
      <c r="G16" s="59">
        <v>67.2</v>
      </c>
      <c r="H16" s="59">
        <f t="shared" si="1"/>
        <v>76.8</v>
      </c>
      <c r="I16" s="147"/>
      <c r="J16" s="24"/>
      <c r="K16" s="25"/>
      <c r="L16" s="17"/>
    </row>
    <row r="17" spans="1:12" s="26" customFormat="1">
      <c r="A17" s="27">
        <v>8</v>
      </c>
      <c r="B17" s="28" t="s">
        <v>21</v>
      </c>
      <c r="C17" s="59">
        <v>165.35249999999999</v>
      </c>
      <c r="D17" s="59"/>
      <c r="E17" s="59"/>
      <c r="F17" s="59"/>
      <c r="G17" s="59">
        <v>32</v>
      </c>
      <c r="H17" s="59">
        <f t="shared" si="1"/>
        <v>133.35249999999999</v>
      </c>
      <c r="I17" s="147"/>
      <c r="J17" s="24"/>
      <c r="K17" s="25"/>
      <c r="L17" s="17"/>
    </row>
    <row r="18" spans="1:12" s="26" customFormat="1">
      <c r="A18" s="141">
        <v>9</v>
      </c>
      <c r="B18" s="142" t="s">
        <v>22</v>
      </c>
      <c r="C18" s="59">
        <v>58.968000000000004</v>
      </c>
      <c r="D18" s="59"/>
      <c r="E18" s="59"/>
      <c r="F18" s="59"/>
      <c r="G18" s="59">
        <v>29.484000000000002</v>
      </c>
      <c r="H18" s="59">
        <f t="shared" si="1"/>
        <v>29.484000000000002</v>
      </c>
      <c r="I18" s="147"/>
      <c r="J18" s="24"/>
      <c r="K18" s="25"/>
      <c r="L18" s="17"/>
    </row>
    <row r="19" spans="1:12" s="26" customFormat="1">
      <c r="A19" s="27">
        <v>10</v>
      </c>
      <c r="B19" s="28" t="s">
        <v>23</v>
      </c>
      <c r="C19" s="59">
        <f>C20+C21</f>
        <v>177.95213000000001</v>
      </c>
      <c r="D19" s="59"/>
      <c r="E19" s="59"/>
      <c r="F19" s="59"/>
      <c r="G19" s="59">
        <f t="shared" ref="G19:H19" si="2">G20+G21</f>
        <v>29.478421000000001</v>
      </c>
      <c r="H19" s="59">
        <f t="shared" si="2"/>
        <v>148.47370899999999</v>
      </c>
      <c r="I19" s="147"/>
      <c r="J19" s="24"/>
      <c r="K19" s="25"/>
      <c r="L19" s="17"/>
    </row>
    <row r="20" spans="1:12" s="88" customFormat="1">
      <c r="A20" s="84" t="s">
        <v>24</v>
      </c>
      <c r="B20" s="85" t="s">
        <v>25</v>
      </c>
      <c r="C20" s="86">
        <v>88</v>
      </c>
      <c r="D20" s="86"/>
      <c r="E20" s="86"/>
      <c r="F20" s="86"/>
      <c r="G20" s="86">
        <v>0</v>
      </c>
      <c r="H20" s="59">
        <f t="shared" si="1"/>
        <v>88</v>
      </c>
      <c r="I20" s="148"/>
      <c r="J20" s="87"/>
      <c r="K20" s="136"/>
      <c r="L20" s="137"/>
    </row>
    <row r="21" spans="1:12" s="88" customFormat="1">
      <c r="A21" s="84" t="s">
        <v>26</v>
      </c>
      <c r="B21" s="89" t="s">
        <v>27</v>
      </c>
      <c r="C21" s="86">
        <v>89.952129999999997</v>
      </c>
      <c r="D21" s="86"/>
      <c r="E21" s="86"/>
      <c r="F21" s="86"/>
      <c r="G21" s="86">
        <v>29.478421000000001</v>
      </c>
      <c r="H21" s="59">
        <f t="shared" si="1"/>
        <v>60.473708999999999</v>
      </c>
      <c r="I21" s="148"/>
      <c r="J21" s="87"/>
      <c r="K21" s="136"/>
      <c r="L21" s="137"/>
    </row>
    <row r="22" spans="1:12" s="26" customFormat="1">
      <c r="A22" s="27">
        <v>11</v>
      </c>
      <c r="B22" s="28" t="s">
        <v>28</v>
      </c>
      <c r="C22" s="59">
        <v>159</v>
      </c>
      <c r="D22" s="59"/>
      <c r="E22" s="59"/>
      <c r="F22" s="59"/>
      <c r="G22" s="59">
        <v>0</v>
      </c>
      <c r="H22" s="59">
        <f t="shared" si="1"/>
        <v>159</v>
      </c>
      <c r="I22" s="147"/>
      <c r="J22" s="24"/>
      <c r="K22" s="25"/>
      <c r="L22" s="17"/>
    </row>
    <row r="23" spans="1:12" s="26" customFormat="1">
      <c r="A23" s="27">
        <v>12</v>
      </c>
      <c r="B23" s="28" t="s">
        <v>29</v>
      </c>
      <c r="C23" s="59">
        <f>C24+C25</f>
        <v>381.446934</v>
      </c>
      <c r="D23" s="59"/>
      <c r="E23" s="59"/>
      <c r="F23" s="59"/>
      <c r="G23" s="59"/>
      <c r="H23" s="59">
        <f t="shared" si="1"/>
        <v>381.446934</v>
      </c>
      <c r="I23" s="147"/>
      <c r="J23" s="24"/>
      <c r="K23" s="25"/>
      <c r="L23" s="17"/>
    </row>
    <row r="24" spans="1:12" s="173" customFormat="1">
      <c r="A24" s="166" t="s">
        <v>30</v>
      </c>
      <c r="B24" s="167" t="s">
        <v>31</v>
      </c>
      <c r="C24" s="168">
        <v>326.446934</v>
      </c>
      <c r="D24" s="168"/>
      <c r="E24" s="168"/>
      <c r="F24" s="168"/>
      <c r="G24" s="168">
        <v>0</v>
      </c>
      <c r="H24" s="160">
        <f t="shared" si="1"/>
        <v>326.446934</v>
      </c>
      <c r="I24" s="169"/>
      <c r="J24" s="170"/>
      <c r="K24" s="171"/>
      <c r="L24" s="172"/>
    </row>
    <row r="25" spans="1:12" s="88" customFormat="1">
      <c r="A25" s="84" t="s">
        <v>32</v>
      </c>
      <c r="B25" s="85" t="s">
        <v>25</v>
      </c>
      <c r="C25" s="86">
        <v>55</v>
      </c>
      <c r="D25" s="86"/>
      <c r="E25" s="86"/>
      <c r="F25" s="86"/>
      <c r="G25" s="86">
        <v>0</v>
      </c>
      <c r="H25" s="59">
        <f t="shared" si="1"/>
        <v>55</v>
      </c>
      <c r="I25" s="148"/>
      <c r="J25" s="87"/>
      <c r="K25" s="136"/>
      <c r="L25" s="137"/>
    </row>
    <row r="26" spans="1:12" s="23" customFormat="1" ht="17.399999999999999">
      <c r="A26" s="44">
        <v>13</v>
      </c>
      <c r="B26" s="72" t="s">
        <v>33</v>
      </c>
      <c r="C26" s="58">
        <f>SUM(C27:C29)</f>
        <v>705.48287999999991</v>
      </c>
      <c r="D26" s="58">
        <f t="shared" ref="D26:I26" si="3">SUM(D27:D29)</f>
        <v>0</v>
      </c>
      <c r="E26" s="58">
        <f t="shared" si="3"/>
        <v>552.60737999999992</v>
      </c>
      <c r="F26" s="58">
        <f t="shared" si="3"/>
        <v>0</v>
      </c>
      <c r="G26" s="58">
        <f t="shared" si="3"/>
        <v>388.71317200000004</v>
      </c>
      <c r="H26" s="58">
        <f t="shared" si="3"/>
        <v>316.76970799999998</v>
      </c>
      <c r="I26" s="58">
        <f t="shared" si="3"/>
        <v>0</v>
      </c>
      <c r="J26" s="21"/>
      <c r="K26" s="22"/>
      <c r="L26" s="73"/>
    </row>
    <row r="27" spans="1:12" s="173" customFormat="1">
      <c r="A27" s="166" t="s">
        <v>34</v>
      </c>
      <c r="B27" s="167" t="s">
        <v>14</v>
      </c>
      <c r="C27" s="168">
        <v>289.77857999999998</v>
      </c>
      <c r="D27" s="168" t="s">
        <v>76</v>
      </c>
      <c r="E27" s="168">
        <v>289.77857999999998</v>
      </c>
      <c r="F27" s="174"/>
      <c r="G27" s="168">
        <v>144.63235800000001</v>
      </c>
      <c r="H27" s="160">
        <f>C27-G27</f>
        <v>145.14622199999997</v>
      </c>
      <c r="I27" s="169"/>
      <c r="J27" s="170"/>
      <c r="K27" s="175"/>
      <c r="L27" s="172"/>
    </row>
    <row r="28" spans="1:12" s="88" customFormat="1">
      <c r="A28" s="84" t="s">
        <v>35</v>
      </c>
      <c r="B28" s="85" t="s">
        <v>15</v>
      </c>
      <c r="C28" s="86">
        <v>262.8288</v>
      </c>
      <c r="D28" s="86" t="s">
        <v>77</v>
      </c>
      <c r="E28" s="86">
        <v>262.8288</v>
      </c>
      <c r="F28" s="149"/>
      <c r="G28" s="86">
        <v>139.270453</v>
      </c>
      <c r="H28" s="59">
        <f>C28-G28</f>
        <v>123.558347</v>
      </c>
      <c r="I28" s="148"/>
      <c r="J28" s="87"/>
      <c r="K28" s="138"/>
      <c r="L28" s="137"/>
    </row>
    <row r="29" spans="1:12" s="88" customFormat="1">
      <c r="A29" s="84" t="s">
        <v>36</v>
      </c>
      <c r="B29" s="85" t="s">
        <v>25</v>
      </c>
      <c r="C29" s="86">
        <v>152.87549999999999</v>
      </c>
      <c r="D29" s="86" t="s">
        <v>78</v>
      </c>
      <c r="E29" s="86"/>
      <c r="F29" s="86"/>
      <c r="G29" s="86">
        <v>104.810361</v>
      </c>
      <c r="H29" s="59">
        <f t="shared" si="1"/>
        <v>48.065138999999988</v>
      </c>
      <c r="I29" s="148"/>
      <c r="J29" s="87"/>
      <c r="K29" s="138"/>
      <c r="L29" s="137"/>
    </row>
    <row r="30" spans="1:12" s="26" customFormat="1">
      <c r="A30" s="27">
        <v>14</v>
      </c>
      <c r="B30" s="90" t="s">
        <v>37</v>
      </c>
      <c r="C30" s="59">
        <v>75.875</v>
      </c>
      <c r="D30" s="59"/>
      <c r="E30" s="59"/>
      <c r="F30" s="86"/>
      <c r="G30" s="59">
        <v>24.931000000000001</v>
      </c>
      <c r="H30" s="59">
        <f t="shared" si="1"/>
        <v>50.944000000000003</v>
      </c>
      <c r="I30" s="147"/>
      <c r="J30" s="24"/>
      <c r="K30" s="22"/>
      <c r="L30" s="17"/>
    </row>
    <row r="31" spans="1:12" s="93" customFormat="1" ht="16.8">
      <c r="A31" s="91" t="s">
        <v>38</v>
      </c>
      <c r="B31" s="92" t="s">
        <v>39</v>
      </c>
      <c r="C31" s="58">
        <f>C32+C33+C34</f>
        <v>1442.6577539999998</v>
      </c>
      <c r="D31" s="58"/>
      <c r="E31" s="58">
        <f t="shared" ref="E31:I31" si="4">E32+E33+E34</f>
        <v>1252.5550000000001</v>
      </c>
      <c r="F31" s="58">
        <f t="shared" si="4"/>
        <v>0</v>
      </c>
      <c r="G31" s="58">
        <f t="shared" si="4"/>
        <v>711.89690500000006</v>
      </c>
      <c r="H31" s="58">
        <f t="shared" si="4"/>
        <v>730.76084899999978</v>
      </c>
      <c r="I31" s="58">
        <f t="shared" si="4"/>
        <v>0</v>
      </c>
      <c r="J31" s="21"/>
    </row>
    <row r="32" spans="1:12" s="95" customFormat="1">
      <c r="A32" s="94">
        <v>1</v>
      </c>
      <c r="B32" s="28" t="s">
        <v>40</v>
      </c>
      <c r="C32" s="59">
        <v>190.102754</v>
      </c>
      <c r="D32" s="59"/>
      <c r="E32" s="59"/>
      <c r="F32" s="86"/>
      <c r="G32" s="59">
        <v>119.82760500000001</v>
      </c>
      <c r="H32" s="59">
        <f t="shared" si="1"/>
        <v>70.275148999999999</v>
      </c>
      <c r="I32" s="147"/>
      <c r="J32" s="24"/>
    </row>
    <row r="33" spans="1:13" s="95" customFormat="1" ht="22.5" customHeight="1">
      <c r="A33" s="94">
        <v>2</v>
      </c>
      <c r="B33" s="28" t="s">
        <v>41</v>
      </c>
      <c r="C33" s="59">
        <v>15</v>
      </c>
      <c r="D33" s="59" t="s">
        <v>79</v>
      </c>
      <c r="E33" s="59">
        <v>15</v>
      </c>
      <c r="F33" s="86"/>
      <c r="G33" s="59">
        <v>0</v>
      </c>
      <c r="H33" s="59">
        <f t="shared" si="1"/>
        <v>15</v>
      </c>
      <c r="I33" s="147"/>
      <c r="J33" s="24"/>
      <c r="M33" s="96"/>
    </row>
    <row r="34" spans="1:13" s="95" customFormat="1" ht="36">
      <c r="A34" s="97">
        <v>3</v>
      </c>
      <c r="B34" s="28" t="s">
        <v>42</v>
      </c>
      <c r="C34" s="59">
        <v>1237.5549999999998</v>
      </c>
      <c r="D34" s="59" t="s">
        <v>80</v>
      </c>
      <c r="E34" s="59">
        <v>1237.5550000000001</v>
      </c>
      <c r="F34" s="86"/>
      <c r="G34" s="59">
        <v>592.0693</v>
      </c>
      <c r="H34" s="59">
        <f t="shared" si="1"/>
        <v>645.48569999999984</v>
      </c>
      <c r="I34" s="147"/>
      <c r="J34" s="24"/>
      <c r="M34" s="96"/>
    </row>
    <row r="35" spans="1:13" s="32" customFormat="1" ht="15.6">
      <c r="A35" s="29" t="s">
        <v>43</v>
      </c>
      <c r="B35" s="30" t="s">
        <v>44</v>
      </c>
      <c r="C35" s="60">
        <f>C36+C37</f>
        <v>398.07355699999999</v>
      </c>
      <c r="D35" s="60"/>
      <c r="E35" s="60">
        <f t="shared" ref="E35:I35" si="5">E36+E37</f>
        <v>0</v>
      </c>
      <c r="F35" s="60">
        <f t="shared" si="5"/>
        <v>0</v>
      </c>
      <c r="G35" s="60">
        <f t="shared" si="5"/>
        <v>232.42945700000001</v>
      </c>
      <c r="H35" s="60">
        <f t="shared" si="5"/>
        <v>165.64409999999998</v>
      </c>
      <c r="I35" s="60">
        <f t="shared" si="5"/>
        <v>0</v>
      </c>
      <c r="J35" s="31"/>
    </row>
    <row r="36" spans="1:13" s="34" customFormat="1">
      <c r="A36" s="98">
        <v>1</v>
      </c>
      <c r="B36" s="28" t="s">
        <v>40</v>
      </c>
      <c r="C36" s="61">
        <v>89.721557000000004</v>
      </c>
      <c r="D36" s="61" t="s">
        <v>78</v>
      </c>
      <c r="E36" s="61"/>
      <c r="F36" s="86"/>
      <c r="G36" s="61">
        <v>79.297456999999994</v>
      </c>
      <c r="H36" s="59">
        <f t="shared" si="1"/>
        <v>10.42410000000001</v>
      </c>
      <c r="I36" s="150"/>
      <c r="J36" s="33"/>
    </row>
    <row r="37" spans="1:13" s="34" customFormat="1">
      <c r="A37" s="99">
        <v>2</v>
      </c>
      <c r="B37" s="28" t="s">
        <v>45</v>
      </c>
      <c r="C37" s="61">
        <v>308.35199999999998</v>
      </c>
      <c r="D37" s="61"/>
      <c r="E37" s="61"/>
      <c r="F37" s="86"/>
      <c r="G37" s="61">
        <v>153.13200000000001</v>
      </c>
      <c r="H37" s="59">
        <f t="shared" si="1"/>
        <v>155.21999999999997</v>
      </c>
      <c r="I37" s="151"/>
      <c r="J37" s="33"/>
    </row>
    <row r="38" spans="1:13" s="32" customFormat="1" ht="17.399999999999999">
      <c r="A38" s="35" t="s">
        <v>46</v>
      </c>
      <c r="B38" s="36" t="s">
        <v>47</v>
      </c>
      <c r="C38" s="60">
        <f>C39</f>
        <v>378.31264799999997</v>
      </c>
      <c r="D38" s="60">
        <f t="shared" ref="D38:H38" si="6">D39</f>
        <v>0</v>
      </c>
      <c r="E38" s="60">
        <f t="shared" si="6"/>
        <v>0</v>
      </c>
      <c r="F38" s="60">
        <f t="shared" si="6"/>
        <v>0</v>
      </c>
      <c r="G38" s="60">
        <f t="shared" si="6"/>
        <v>82.06</v>
      </c>
      <c r="H38" s="60">
        <f t="shared" si="6"/>
        <v>296.25264800000002</v>
      </c>
      <c r="I38" s="152"/>
      <c r="J38" s="31"/>
    </row>
    <row r="39" spans="1:13" s="40" customFormat="1" ht="36">
      <c r="A39" s="37"/>
      <c r="B39" s="38" t="s">
        <v>48</v>
      </c>
      <c r="C39" s="62">
        <f t="shared" ref="C39:H39" si="7">C40+C41</f>
        <v>378.31264799999997</v>
      </c>
      <c r="D39" s="62">
        <f t="shared" si="7"/>
        <v>0</v>
      </c>
      <c r="E39" s="62">
        <f t="shared" si="7"/>
        <v>0</v>
      </c>
      <c r="F39" s="62">
        <f t="shared" si="7"/>
        <v>0</v>
      </c>
      <c r="G39" s="62">
        <f t="shared" si="7"/>
        <v>82.06</v>
      </c>
      <c r="H39" s="62">
        <f t="shared" si="7"/>
        <v>296.25264800000002</v>
      </c>
      <c r="I39" s="153"/>
      <c r="J39" s="39"/>
    </row>
    <row r="40" spans="1:13" s="34" customFormat="1">
      <c r="A40" s="27">
        <v>1</v>
      </c>
      <c r="B40" s="28" t="s">
        <v>49</v>
      </c>
      <c r="C40" s="61">
        <v>195</v>
      </c>
      <c r="D40" s="61"/>
      <c r="E40" s="61"/>
      <c r="F40" s="86"/>
      <c r="G40" s="61">
        <v>4.915</v>
      </c>
      <c r="H40" s="59">
        <f t="shared" si="1"/>
        <v>190.08500000000001</v>
      </c>
      <c r="I40" s="151"/>
      <c r="J40" s="33"/>
    </row>
    <row r="41" spans="1:13" s="34" customFormat="1">
      <c r="A41" s="27">
        <v>2</v>
      </c>
      <c r="B41" s="41" t="s">
        <v>50</v>
      </c>
      <c r="C41" s="61">
        <v>183.312648</v>
      </c>
      <c r="D41" s="61"/>
      <c r="E41" s="61"/>
      <c r="F41" s="86"/>
      <c r="G41" s="61">
        <v>77.144999999999996</v>
      </c>
      <c r="H41" s="59">
        <f t="shared" si="1"/>
        <v>106.167648</v>
      </c>
      <c r="I41" s="151"/>
      <c r="J41" s="33"/>
    </row>
    <row r="42" spans="1:13" s="34" customFormat="1" ht="17.399999999999999">
      <c r="A42" s="44" t="s">
        <v>51</v>
      </c>
      <c r="B42" s="36" t="s">
        <v>52</v>
      </c>
      <c r="C42" s="61">
        <f>C43</f>
        <v>86.579689999999999</v>
      </c>
      <c r="D42" s="61">
        <f t="shared" ref="D42:H42" si="8">D43</f>
        <v>0</v>
      </c>
      <c r="E42" s="61">
        <f t="shared" si="8"/>
        <v>0</v>
      </c>
      <c r="F42" s="61">
        <f t="shared" si="8"/>
        <v>0</v>
      </c>
      <c r="G42" s="61">
        <f t="shared" si="8"/>
        <v>20.29</v>
      </c>
      <c r="H42" s="61">
        <f t="shared" si="8"/>
        <v>66.289690000000007</v>
      </c>
      <c r="I42" s="151"/>
      <c r="J42" s="33"/>
    </row>
    <row r="43" spans="1:13" s="40" customFormat="1" ht="36">
      <c r="A43" s="37"/>
      <c r="B43" s="38" t="s">
        <v>48</v>
      </c>
      <c r="C43" s="62">
        <f>C44</f>
        <v>86.579689999999999</v>
      </c>
      <c r="D43" s="62">
        <f t="shared" ref="D43:H43" si="9">D44</f>
        <v>0</v>
      </c>
      <c r="E43" s="62">
        <f t="shared" si="9"/>
        <v>0</v>
      </c>
      <c r="F43" s="62">
        <f t="shared" si="9"/>
        <v>0</v>
      </c>
      <c r="G43" s="62">
        <f t="shared" si="9"/>
        <v>20.29</v>
      </c>
      <c r="H43" s="62">
        <f t="shared" si="9"/>
        <v>66.289690000000007</v>
      </c>
      <c r="I43" s="153"/>
      <c r="J43" s="39"/>
    </row>
    <row r="44" spans="1:13" s="34" customFormat="1">
      <c r="A44" s="27">
        <v>1</v>
      </c>
      <c r="B44" s="41" t="s">
        <v>52</v>
      </c>
      <c r="C44" s="61">
        <v>86.579689999999999</v>
      </c>
      <c r="D44" s="61"/>
      <c r="E44" s="61"/>
      <c r="F44" s="86"/>
      <c r="G44" s="61">
        <v>20.29</v>
      </c>
      <c r="H44" s="59">
        <f t="shared" si="1"/>
        <v>66.289690000000007</v>
      </c>
      <c r="I44" s="151"/>
      <c r="J44" s="33"/>
    </row>
    <row r="45" spans="1:13" s="32" customFormat="1" ht="17.399999999999999">
      <c r="A45" s="44" t="s">
        <v>53</v>
      </c>
      <c r="B45" s="36" t="s">
        <v>54</v>
      </c>
      <c r="C45" s="60">
        <f>C46</f>
        <v>140.736527</v>
      </c>
      <c r="D45" s="60">
        <f t="shared" ref="D45:H45" si="10">D46</f>
        <v>0</v>
      </c>
      <c r="E45" s="60">
        <f t="shared" si="10"/>
        <v>0</v>
      </c>
      <c r="F45" s="60">
        <f t="shared" si="10"/>
        <v>0</v>
      </c>
      <c r="G45" s="60">
        <f t="shared" si="10"/>
        <v>82.24</v>
      </c>
      <c r="H45" s="60">
        <f t="shared" si="10"/>
        <v>58.496527</v>
      </c>
      <c r="I45" s="152"/>
      <c r="J45" s="31"/>
    </row>
    <row r="46" spans="1:13" s="40" customFormat="1" ht="36">
      <c r="A46" s="37"/>
      <c r="B46" s="38" t="s">
        <v>48</v>
      </c>
      <c r="C46" s="62">
        <f>C47+C48</f>
        <v>140.736527</v>
      </c>
      <c r="D46" s="62">
        <f t="shared" ref="D46:H46" si="11">D47+D48</f>
        <v>0</v>
      </c>
      <c r="E46" s="62">
        <f t="shared" si="11"/>
        <v>0</v>
      </c>
      <c r="F46" s="62">
        <f t="shared" si="11"/>
        <v>0</v>
      </c>
      <c r="G46" s="62">
        <f t="shared" si="11"/>
        <v>82.24</v>
      </c>
      <c r="H46" s="62">
        <f t="shared" si="11"/>
        <v>58.496527</v>
      </c>
      <c r="I46" s="153"/>
      <c r="J46" s="39"/>
    </row>
    <row r="47" spans="1:13" s="34" customFormat="1">
      <c r="A47" s="27">
        <v>1</v>
      </c>
      <c r="B47" s="41" t="s">
        <v>54</v>
      </c>
      <c r="C47" s="61">
        <v>110.736527</v>
      </c>
      <c r="D47" s="61"/>
      <c r="E47" s="61"/>
      <c r="F47" s="86"/>
      <c r="G47" s="61">
        <v>72.239999999999995</v>
      </c>
      <c r="H47" s="59">
        <f t="shared" si="1"/>
        <v>38.496527</v>
      </c>
      <c r="I47" s="151"/>
      <c r="J47" s="33"/>
    </row>
    <row r="48" spans="1:13" s="34" customFormat="1">
      <c r="A48" s="27">
        <v>2</v>
      </c>
      <c r="B48" s="28" t="s">
        <v>55</v>
      </c>
      <c r="C48" s="61">
        <v>30</v>
      </c>
      <c r="D48" s="61"/>
      <c r="E48" s="61"/>
      <c r="F48" s="86"/>
      <c r="G48" s="61">
        <v>10</v>
      </c>
      <c r="H48" s="59">
        <f t="shared" si="1"/>
        <v>20</v>
      </c>
      <c r="I48" s="151"/>
      <c r="J48" s="33"/>
    </row>
    <row r="49" spans="1:10" s="32" customFormat="1" ht="17.399999999999999">
      <c r="A49" s="44" t="s">
        <v>56</v>
      </c>
      <c r="B49" s="36" t="s">
        <v>57</v>
      </c>
      <c r="C49" s="60">
        <f>C50</f>
        <v>6654.3586580000001</v>
      </c>
      <c r="D49" s="60">
        <f t="shared" ref="D49:H49" si="12">D50</f>
        <v>0</v>
      </c>
      <c r="E49" s="60">
        <f t="shared" si="12"/>
        <v>0</v>
      </c>
      <c r="F49" s="60">
        <f t="shared" si="12"/>
        <v>0</v>
      </c>
      <c r="G49" s="60">
        <f t="shared" si="12"/>
        <v>3321.9890580000001</v>
      </c>
      <c r="H49" s="60">
        <f t="shared" si="12"/>
        <v>3332.3696</v>
      </c>
      <c r="I49" s="152"/>
      <c r="J49" s="31"/>
    </row>
    <row r="50" spans="1:10" s="40" customFormat="1" ht="36">
      <c r="A50" s="37"/>
      <c r="B50" s="38" t="s">
        <v>48</v>
      </c>
      <c r="C50" s="62">
        <f>SUM(C51:C57)</f>
        <v>6654.3586580000001</v>
      </c>
      <c r="D50" s="62">
        <f t="shared" ref="D50:H50" si="13">SUM(D51:D57)</f>
        <v>0</v>
      </c>
      <c r="E50" s="62">
        <f t="shared" si="13"/>
        <v>0</v>
      </c>
      <c r="F50" s="62">
        <f t="shared" si="13"/>
        <v>0</v>
      </c>
      <c r="G50" s="62">
        <f t="shared" si="13"/>
        <v>3321.9890580000001</v>
      </c>
      <c r="H50" s="62">
        <f t="shared" si="13"/>
        <v>3332.3696</v>
      </c>
      <c r="I50" s="153"/>
      <c r="J50" s="39"/>
    </row>
    <row r="51" spans="1:10" s="34" customFormat="1">
      <c r="A51" s="27">
        <v>1</v>
      </c>
      <c r="B51" s="45" t="s">
        <v>40</v>
      </c>
      <c r="C51" s="61">
        <v>57.025162999999999</v>
      </c>
      <c r="D51" s="61"/>
      <c r="E51" s="61"/>
      <c r="F51" s="86"/>
      <c r="G51" s="61">
        <v>26.852563</v>
      </c>
      <c r="H51" s="59">
        <f t="shared" si="1"/>
        <v>30.172599999999999</v>
      </c>
      <c r="I51" s="151"/>
      <c r="J51" s="33"/>
    </row>
    <row r="52" spans="1:10" s="34" customFormat="1">
      <c r="A52" s="27">
        <v>2</v>
      </c>
      <c r="B52" s="45" t="s">
        <v>58</v>
      </c>
      <c r="C52" s="61">
        <v>226.57</v>
      </c>
      <c r="D52" s="61"/>
      <c r="E52" s="61"/>
      <c r="F52" s="86"/>
      <c r="G52" s="61">
        <v>224.06</v>
      </c>
      <c r="H52" s="59">
        <f t="shared" si="1"/>
        <v>2.5099999999999909</v>
      </c>
      <c r="I52" s="151"/>
      <c r="J52" s="33"/>
    </row>
    <row r="53" spans="1:10" s="34" customFormat="1" ht="36">
      <c r="A53" s="27">
        <v>3</v>
      </c>
      <c r="B53" s="45" t="s">
        <v>59</v>
      </c>
      <c r="C53" s="61">
        <v>24</v>
      </c>
      <c r="D53" s="61"/>
      <c r="E53" s="61"/>
      <c r="F53" s="86"/>
      <c r="G53" s="61">
        <v>0</v>
      </c>
      <c r="H53" s="59">
        <f t="shared" si="1"/>
        <v>24</v>
      </c>
      <c r="I53" s="151"/>
      <c r="J53" s="33"/>
    </row>
    <row r="54" spans="1:10" s="34" customFormat="1" ht="54">
      <c r="A54" s="27">
        <v>4</v>
      </c>
      <c r="B54" s="45" t="s">
        <v>60</v>
      </c>
      <c r="C54" s="61">
        <v>78</v>
      </c>
      <c r="D54" s="61"/>
      <c r="E54" s="61"/>
      <c r="F54" s="86"/>
      <c r="G54" s="61">
        <v>13</v>
      </c>
      <c r="H54" s="59">
        <f t="shared" si="1"/>
        <v>65</v>
      </c>
      <c r="I54" s="151"/>
      <c r="J54" s="33"/>
    </row>
    <row r="55" spans="1:10" s="34" customFormat="1">
      <c r="A55" s="27">
        <v>5</v>
      </c>
      <c r="B55" s="45" t="s">
        <v>61</v>
      </c>
      <c r="C55" s="61">
        <v>5655.76</v>
      </c>
      <c r="D55" s="61"/>
      <c r="E55" s="61"/>
      <c r="F55" s="86"/>
      <c r="G55" s="61">
        <v>2823.63</v>
      </c>
      <c r="H55" s="59">
        <f t="shared" si="1"/>
        <v>2832.13</v>
      </c>
      <c r="I55" s="151"/>
      <c r="J55" s="33"/>
    </row>
    <row r="56" spans="1:10" s="34" customFormat="1">
      <c r="A56" s="27">
        <v>6</v>
      </c>
      <c r="B56" s="45" t="s">
        <v>62</v>
      </c>
      <c r="C56" s="61">
        <v>571.23549500000001</v>
      </c>
      <c r="D56" s="61"/>
      <c r="E56" s="61"/>
      <c r="F56" s="86"/>
      <c r="G56" s="61">
        <v>213.56249500000001</v>
      </c>
      <c r="H56" s="59">
        <f t="shared" si="1"/>
        <v>357.673</v>
      </c>
      <c r="I56" s="151"/>
      <c r="J56" s="33"/>
    </row>
    <row r="57" spans="1:10" s="34" customFormat="1" ht="36">
      <c r="A57" s="27">
        <v>7</v>
      </c>
      <c r="B57" s="45" t="s">
        <v>63</v>
      </c>
      <c r="C57" s="61">
        <v>41.768000000000001</v>
      </c>
      <c r="D57" s="61"/>
      <c r="E57" s="61"/>
      <c r="F57" s="86"/>
      <c r="G57" s="61">
        <v>20.884</v>
      </c>
      <c r="H57" s="59">
        <f t="shared" si="1"/>
        <v>20.884</v>
      </c>
      <c r="I57" s="151"/>
      <c r="J57" s="33"/>
    </row>
    <row r="58" spans="1:10" s="34" customFormat="1" ht="17.399999999999999">
      <c r="A58" s="44" t="s">
        <v>64</v>
      </c>
      <c r="B58" s="36" t="s">
        <v>65</v>
      </c>
      <c r="C58" s="60">
        <f>C59</f>
        <v>3136.6314200000002</v>
      </c>
      <c r="D58" s="60">
        <f t="shared" ref="D58:H58" si="14">D59</f>
        <v>0</v>
      </c>
      <c r="E58" s="60">
        <f t="shared" si="14"/>
        <v>0</v>
      </c>
      <c r="F58" s="60">
        <f t="shared" si="14"/>
        <v>0</v>
      </c>
      <c r="G58" s="60">
        <f t="shared" si="14"/>
        <v>2616.947549</v>
      </c>
      <c r="H58" s="60">
        <f t="shared" si="14"/>
        <v>519.68387100000007</v>
      </c>
      <c r="I58" s="152"/>
      <c r="J58" s="33"/>
    </row>
    <row r="59" spans="1:10" s="40" customFormat="1">
      <c r="A59" s="37"/>
      <c r="B59" s="46" t="s">
        <v>66</v>
      </c>
      <c r="C59" s="62">
        <f>C60+C73+C74+C75</f>
        <v>3136.6314200000002</v>
      </c>
      <c r="D59" s="62">
        <f t="shared" ref="D59:H59" si="15">D60+D73+D74+D75</f>
        <v>0</v>
      </c>
      <c r="E59" s="62">
        <f t="shared" si="15"/>
        <v>0</v>
      </c>
      <c r="F59" s="62">
        <f t="shared" si="15"/>
        <v>0</v>
      </c>
      <c r="G59" s="62">
        <f t="shared" si="15"/>
        <v>2616.947549</v>
      </c>
      <c r="H59" s="62">
        <f t="shared" si="15"/>
        <v>519.68387100000007</v>
      </c>
      <c r="I59" s="153"/>
      <c r="J59" s="39"/>
    </row>
    <row r="60" spans="1:10" s="40" customFormat="1">
      <c r="A60" s="27">
        <v>1</v>
      </c>
      <c r="B60" s="28" t="s">
        <v>40</v>
      </c>
      <c r="C60" s="61">
        <f>SUM(C61:C72)</f>
        <v>2426.5374200000001</v>
      </c>
      <c r="D60" s="62"/>
      <c r="E60" s="62"/>
      <c r="F60" s="86"/>
      <c r="G60" s="139">
        <f t="shared" ref="G60:H60" si="16">SUM(G61:G72)</f>
        <v>2337.947549</v>
      </c>
      <c r="H60" s="139">
        <f t="shared" si="16"/>
        <v>88.589871000000016</v>
      </c>
      <c r="I60" s="153"/>
      <c r="J60" s="39"/>
    </row>
    <row r="61" spans="1:10" s="40" customFormat="1" ht="54">
      <c r="A61" s="27"/>
      <c r="B61" s="28" t="s">
        <v>129</v>
      </c>
      <c r="C61" s="61">
        <v>100</v>
      </c>
      <c r="D61" s="62"/>
      <c r="E61" s="62"/>
      <c r="F61" s="86"/>
      <c r="G61" s="154">
        <v>97.485500000000002</v>
      </c>
      <c r="H61" s="59">
        <f>C61-G61</f>
        <v>2.5144999999999982</v>
      </c>
      <c r="I61" s="153"/>
      <c r="J61" s="39"/>
    </row>
    <row r="62" spans="1:10" s="40" customFormat="1" ht="72">
      <c r="A62" s="27"/>
      <c r="B62" s="28" t="s">
        <v>130</v>
      </c>
      <c r="C62" s="61">
        <v>100</v>
      </c>
      <c r="D62" s="62"/>
      <c r="E62" s="62"/>
      <c r="F62" s="86"/>
      <c r="G62" s="154">
        <v>95.503500000000003</v>
      </c>
      <c r="H62" s="59">
        <f t="shared" ref="H62:H75" si="17">C62-G62</f>
        <v>4.4964999999999975</v>
      </c>
      <c r="I62" s="153"/>
      <c r="J62" s="39"/>
    </row>
    <row r="63" spans="1:10" s="40" customFormat="1" ht="36">
      <c r="A63" s="27"/>
      <c r="B63" s="28" t="s">
        <v>131</v>
      </c>
      <c r="C63" s="61">
        <v>160.25559999999999</v>
      </c>
      <c r="D63" s="62"/>
      <c r="E63" s="62"/>
      <c r="F63" s="86"/>
      <c r="G63" s="154">
        <v>160.255</v>
      </c>
      <c r="H63" s="59">
        <f t="shared" si="17"/>
        <v>5.9999999999149622E-4</v>
      </c>
      <c r="I63" s="153"/>
      <c r="J63" s="39"/>
    </row>
    <row r="64" spans="1:10" s="40" customFormat="1">
      <c r="A64" s="27"/>
      <c r="B64" s="28" t="s">
        <v>132</v>
      </c>
      <c r="C64" s="61">
        <v>82.979998999999992</v>
      </c>
      <c r="D64" s="62"/>
      <c r="E64" s="62"/>
      <c r="F64" s="86"/>
      <c r="G64" s="154">
        <v>82.979999000000007</v>
      </c>
      <c r="H64" s="59">
        <f t="shared" si="17"/>
        <v>0</v>
      </c>
      <c r="I64" s="153"/>
      <c r="J64" s="39"/>
    </row>
    <row r="65" spans="1:10" s="40" customFormat="1">
      <c r="A65" s="27"/>
      <c r="B65" s="28" t="s">
        <v>133</v>
      </c>
      <c r="C65" s="61">
        <v>25</v>
      </c>
      <c r="D65" s="62"/>
      <c r="E65" s="62"/>
      <c r="F65" s="86"/>
      <c r="G65" s="154">
        <v>25</v>
      </c>
      <c r="H65" s="59">
        <f t="shared" si="17"/>
        <v>0</v>
      </c>
      <c r="I65" s="153"/>
      <c r="J65" s="39"/>
    </row>
    <row r="66" spans="1:10" s="40" customFormat="1" ht="36">
      <c r="A66" s="27"/>
      <c r="B66" s="28" t="s">
        <v>155</v>
      </c>
      <c r="C66" s="61">
        <v>53.361521000000003</v>
      </c>
      <c r="D66" s="62"/>
      <c r="E66" s="62"/>
      <c r="F66" s="86"/>
      <c r="G66" s="154">
        <v>53.350549999999998</v>
      </c>
      <c r="H66" s="59">
        <f t="shared" si="17"/>
        <v>1.0971000000004949E-2</v>
      </c>
      <c r="I66" s="153"/>
      <c r="J66" s="39"/>
    </row>
    <row r="67" spans="1:10" s="40" customFormat="1" ht="36">
      <c r="A67" s="27"/>
      <c r="B67" s="28" t="s">
        <v>135</v>
      </c>
      <c r="C67" s="61">
        <v>95</v>
      </c>
      <c r="D67" s="62"/>
      <c r="E67" s="62"/>
      <c r="F67" s="86"/>
      <c r="G67" s="139">
        <v>94.933000000000007</v>
      </c>
      <c r="H67" s="59">
        <f t="shared" si="17"/>
        <v>6.6999999999993065E-2</v>
      </c>
      <c r="I67" s="153"/>
      <c r="J67" s="39"/>
    </row>
    <row r="68" spans="1:10" s="40" customFormat="1" ht="36">
      <c r="A68" s="27"/>
      <c r="B68" s="28" t="s">
        <v>136</v>
      </c>
      <c r="C68" s="61">
        <v>89.940299999999993</v>
      </c>
      <c r="D68" s="62"/>
      <c r="E68" s="62"/>
      <c r="F68" s="86"/>
      <c r="G68" s="154">
        <v>89.94</v>
      </c>
      <c r="H68" s="59">
        <f t="shared" si="17"/>
        <v>2.9999999999574811E-4</v>
      </c>
      <c r="I68" s="153"/>
      <c r="J68" s="39"/>
    </row>
    <row r="69" spans="1:10" s="40" customFormat="1" ht="36">
      <c r="A69" s="27"/>
      <c r="B69" s="28" t="s">
        <v>137</v>
      </c>
      <c r="C69" s="61">
        <v>90</v>
      </c>
      <c r="D69" s="62"/>
      <c r="E69" s="62"/>
      <c r="F69" s="86"/>
      <c r="G69" s="154">
        <v>28.7</v>
      </c>
      <c r="H69" s="59">
        <f t="shared" si="17"/>
        <v>61.3</v>
      </c>
      <c r="I69" s="153"/>
      <c r="J69" s="39"/>
    </row>
    <row r="70" spans="1:10" s="40" customFormat="1" ht="36">
      <c r="A70" s="27"/>
      <c r="B70" s="28" t="s">
        <v>138</v>
      </c>
      <c r="C70" s="61">
        <v>10</v>
      </c>
      <c r="D70" s="62"/>
      <c r="E70" s="62"/>
      <c r="F70" s="86"/>
      <c r="G70" s="154">
        <v>4</v>
      </c>
      <c r="H70" s="59">
        <f t="shared" si="17"/>
        <v>6</v>
      </c>
      <c r="I70" s="153"/>
      <c r="J70" s="39"/>
    </row>
    <row r="71" spans="1:10" s="40" customFormat="1" ht="36">
      <c r="A71" s="27"/>
      <c r="B71" s="28" t="s">
        <v>139</v>
      </c>
      <c r="C71" s="61">
        <v>810</v>
      </c>
      <c r="D71" s="62"/>
      <c r="E71" s="62"/>
      <c r="F71" s="86"/>
      <c r="G71" s="154">
        <v>802.71600000000001</v>
      </c>
      <c r="H71" s="59">
        <f t="shared" si="17"/>
        <v>7.2839999999999918</v>
      </c>
      <c r="I71" s="153"/>
      <c r="J71" s="39"/>
    </row>
    <row r="72" spans="1:10" s="40" customFormat="1" ht="54">
      <c r="A72" s="27"/>
      <c r="B72" s="28" t="s">
        <v>140</v>
      </c>
      <c r="C72" s="61">
        <v>810</v>
      </c>
      <c r="D72" s="62"/>
      <c r="E72" s="62"/>
      <c r="F72" s="86"/>
      <c r="G72" s="154">
        <v>803.08399999999995</v>
      </c>
      <c r="H72" s="59">
        <f t="shared" si="17"/>
        <v>6.9160000000000537</v>
      </c>
      <c r="I72" s="153"/>
      <c r="J72" s="39"/>
    </row>
    <row r="73" spans="1:10" s="40" customFormat="1" ht="36">
      <c r="A73" s="27">
        <v>2</v>
      </c>
      <c r="B73" s="28" t="s">
        <v>141</v>
      </c>
      <c r="C73" s="61">
        <v>36.554000000000002</v>
      </c>
      <c r="D73" s="62"/>
      <c r="E73" s="62"/>
      <c r="F73" s="86"/>
      <c r="G73" s="154">
        <v>17</v>
      </c>
      <c r="H73" s="59">
        <f t="shared" si="17"/>
        <v>19.554000000000002</v>
      </c>
      <c r="I73" s="153"/>
      <c r="J73" s="39"/>
    </row>
    <row r="74" spans="1:10" s="40" customFormat="1" ht="36">
      <c r="A74" s="27">
        <v>3</v>
      </c>
      <c r="B74" s="28" t="s">
        <v>142</v>
      </c>
      <c r="C74" s="61">
        <v>411.54</v>
      </c>
      <c r="D74" s="62"/>
      <c r="E74" s="62"/>
      <c r="F74" s="86"/>
      <c r="G74" s="154"/>
      <c r="H74" s="59">
        <f t="shared" si="17"/>
        <v>411.54</v>
      </c>
      <c r="I74" s="153"/>
      <c r="J74" s="39"/>
    </row>
    <row r="75" spans="1:10" s="40" customFormat="1" ht="36">
      <c r="A75" s="27">
        <v>4</v>
      </c>
      <c r="B75" s="28" t="s">
        <v>143</v>
      </c>
      <c r="C75" s="61">
        <v>262</v>
      </c>
      <c r="D75" s="62"/>
      <c r="E75" s="62"/>
      <c r="F75" s="86"/>
      <c r="G75" s="154">
        <v>262</v>
      </c>
      <c r="H75" s="59">
        <f t="shared" si="17"/>
        <v>0</v>
      </c>
      <c r="I75" s="153"/>
      <c r="J75" s="39"/>
    </row>
    <row r="76" spans="1:10" s="34" customFormat="1" ht="17.399999999999999">
      <c r="A76" s="44" t="s">
        <v>67</v>
      </c>
      <c r="B76" s="36" t="s">
        <v>68</v>
      </c>
      <c r="C76" s="60">
        <f>C77</f>
        <v>144.884196</v>
      </c>
      <c r="D76" s="60">
        <f t="shared" ref="D76:H76" si="18">D77</f>
        <v>0</v>
      </c>
      <c r="E76" s="60">
        <f t="shared" si="18"/>
        <v>0</v>
      </c>
      <c r="F76" s="60">
        <f t="shared" si="18"/>
        <v>0</v>
      </c>
      <c r="G76" s="60">
        <f t="shared" si="18"/>
        <v>75.825999999999993</v>
      </c>
      <c r="H76" s="60">
        <f t="shared" si="18"/>
        <v>69.058196000000009</v>
      </c>
      <c r="I76" s="152"/>
      <c r="J76" s="33"/>
    </row>
    <row r="77" spans="1:10" s="40" customFormat="1" ht="36">
      <c r="A77" s="37"/>
      <c r="B77" s="46" t="s">
        <v>69</v>
      </c>
      <c r="C77" s="62">
        <f>C78</f>
        <v>144.884196</v>
      </c>
      <c r="D77" s="62">
        <f t="shared" ref="D77:H77" si="19">D78</f>
        <v>0</v>
      </c>
      <c r="E77" s="62">
        <f t="shared" si="19"/>
        <v>0</v>
      </c>
      <c r="F77" s="62">
        <f t="shared" si="19"/>
        <v>0</v>
      </c>
      <c r="G77" s="62">
        <f t="shared" si="19"/>
        <v>75.825999999999993</v>
      </c>
      <c r="H77" s="62">
        <f t="shared" si="19"/>
        <v>69.058196000000009</v>
      </c>
      <c r="I77" s="153"/>
      <c r="J77" s="39"/>
    </row>
    <row r="78" spans="1:10" s="34" customFormat="1" ht="18.600000000000001" thickBot="1">
      <c r="A78" s="47">
        <v>1</v>
      </c>
      <c r="B78" s="48" t="s">
        <v>68</v>
      </c>
      <c r="C78" s="63">
        <v>144.884196</v>
      </c>
      <c r="D78" s="63"/>
      <c r="E78" s="63"/>
      <c r="F78" s="155"/>
      <c r="G78" s="63">
        <v>75.825999999999993</v>
      </c>
      <c r="H78" s="156">
        <f t="shared" si="1"/>
        <v>69.058196000000009</v>
      </c>
      <c r="I78" s="157"/>
      <c r="J78" s="49"/>
    </row>
    <row r="79" spans="1:10" s="34" customFormat="1" ht="18.600000000000001" thickTop="1">
      <c r="A79" s="143"/>
      <c r="B79" s="144"/>
      <c r="C79" s="64"/>
      <c r="D79" s="64"/>
      <c r="E79" s="64"/>
      <c r="F79" s="64"/>
      <c r="G79" s="64"/>
      <c r="H79" s="64"/>
      <c r="I79" s="52"/>
      <c r="J79" s="52"/>
    </row>
    <row r="80" spans="1:10">
      <c r="B80" s="53"/>
      <c r="C80" s="65"/>
      <c r="D80" s="65"/>
      <c r="E80" s="65"/>
      <c r="F80" s="65"/>
      <c r="G80" s="65"/>
      <c r="H80" s="65"/>
      <c r="I80" s="53"/>
    </row>
    <row r="81" spans="2:10">
      <c r="B81" s="410"/>
      <c r="C81" s="410"/>
      <c r="D81" s="410"/>
      <c r="E81" s="410"/>
      <c r="F81" s="410"/>
      <c r="G81" s="410"/>
      <c r="H81" s="410"/>
      <c r="I81" s="410"/>
      <c r="J81" s="410"/>
    </row>
    <row r="82" spans="2:10">
      <c r="B82" s="407"/>
      <c r="C82" s="407"/>
      <c r="D82" s="407"/>
      <c r="E82" s="407"/>
      <c r="F82" s="407"/>
      <c r="G82" s="407"/>
      <c r="H82" s="407"/>
      <c r="I82" s="407"/>
      <c r="J82" s="407"/>
    </row>
  </sheetData>
  <mergeCells count="6">
    <mergeCell ref="B82:J82"/>
    <mergeCell ref="A1:J1"/>
    <mergeCell ref="A2:J2"/>
    <mergeCell ref="A3:J3"/>
    <mergeCell ref="A4:J4"/>
    <mergeCell ref="B81:J81"/>
  </mergeCells>
  <pageMargins left="0.7" right="0.7" top="0.75" bottom="0.75" header="0.3" footer="0.3"/>
  <pageSetup paperSize="9" orientation="landscape"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2"/>
  <sheetViews>
    <sheetView topLeftCell="A69" workbookViewId="0">
      <selection activeCell="E60" sqref="E60:E75"/>
    </sheetView>
  </sheetViews>
  <sheetFormatPr defaultColWidth="9.109375" defaultRowHeight="18"/>
  <cols>
    <col min="1" max="1" width="8.88671875" style="2" customWidth="1"/>
    <col min="2" max="2" width="61.33203125" style="1" customWidth="1"/>
    <col min="3" max="3" width="14.109375" style="1" customWidth="1"/>
    <col min="4" max="4" width="12.6640625" style="1" customWidth="1"/>
    <col min="5" max="5" width="20.6640625" style="110" bestFit="1" customWidth="1"/>
    <col min="6" max="6" width="15.6640625" style="111" bestFit="1" customWidth="1"/>
    <col min="7" max="16384" width="9.109375" style="1"/>
  </cols>
  <sheetData>
    <row r="1" spans="1:6">
      <c r="A1" s="408" t="s">
        <v>0</v>
      </c>
      <c r="B1" s="408"/>
      <c r="C1" s="408"/>
      <c r="D1" s="408"/>
    </row>
    <row r="2" spans="1:6">
      <c r="A2" s="408" t="s">
        <v>1</v>
      </c>
      <c r="B2" s="408"/>
      <c r="C2" s="408"/>
      <c r="D2" s="408"/>
    </row>
    <row r="3" spans="1:6">
      <c r="A3" s="408" t="s">
        <v>2</v>
      </c>
      <c r="B3" s="408"/>
      <c r="C3" s="408"/>
      <c r="D3" s="408"/>
    </row>
    <row r="4" spans="1:6">
      <c r="A4" s="409" t="s">
        <v>305</v>
      </c>
      <c r="B4" s="409"/>
      <c r="C4" s="409"/>
      <c r="D4" s="409"/>
    </row>
    <row r="5" spans="1:6" ht="18.600000000000001" thickBot="1">
      <c r="B5" s="3"/>
      <c r="C5" s="4"/>
      <c r="D5" s="3" t="s">
        <v>3</v>
      </c>
    </row>
    <row r="6" spans="1:6" s="9" customFormat="1" ht="34.200000000000003" thickTop="1">
      <c r="A6" s="5" t="s">
        <v>4</v>
      </c>
      <c r="B6" s="6" t="s">
        <v>5</v>
      </c>
      <c r="C6" s="6" t="s">
        <v>6</v>
      </c>
      <c r="D6" s="7" t="s">
        <v>7</v>
      </c>
      <c r="E6" s="112" t="s">
        <v>145</v>
      </c>
      <c r="F6" s="113"/>
    </row>
    <row r="7" spans="1:6" s="9" customFormat="1">
      <c r="A7" s="10" t="s">
        <v>8</v>
      </c>
      <c r="B7" s="11" t="s">
        <v>9</v>
      </c>
      <c r="C7" s="78"/>
      <c r="D7" s="12"/>
      <c r="E7" s="114"/>
      <c r="F7" s="115"/>
    </row>
    <row r="8" spans="1:6" s="18" customFormat="1" ht="16.8">
      <c r="A8" s="13" t="s">
        <v>10</v>
      </c>
      <c r="B8" s="14" t="s">
        <v>11</v>
      </c>
      <c r="C8" s="68">
        <f>C9+C31+C35+C38+C42+C45+C49+C58+C76</f>
        <v>24788.189875</v>
      </c>
      <c r="D8" s="15"/>
      <c r="E8" s="116"/>
      <c r="F8" s="117"/>
    </row>
    <row r="9" spans="1:6" s="23" customFormat="1" ht="16.8">
      <c r="A9" s="19" t="s">
        <v>12</v>
      </c>
      <c r="B9" s="20" t="s">
        <v>13</v>
      </c>
      <c r="C9" s="58">
        <f>C10+C11+C12+C13+C14+C15+C16+C17+C18+C19+C22+C23+C26+C30</f>
        <v>12405.955425000002</v>
      </c>
      <c r="D9" s="21"/>
      <c r="E9" s="118"/>
      <c r="F9" s="117"/>
    </row>
    <row r="10" spans="1:6" s="26" customFormat="1">
      <c r="A10" s="79">
        <v>1</v>
      </c>
      <c r="B10" s="80" t="s">
        <v>100</v>
      </c>
      <c r="C10" s="59">
        <v>5791.0252760000003</v>
      </c>
      <c r="D10" s="24"/>
      <c r="E10" s="119"/>
      <c r="F10" s="117"/>
    </row>
    <row r="11" spans="1:6" s="26" customFormat="1">
      <c r="A11" s="79">
        <v>2</v>
      </c>
      <c r="B11" s="80" t="s">
        <v>101</v>
      </c>
      <c r="C11" s="59">
        <v>800.27980000000002</v>
      </c>
      <c r="D11" s="24"/>
      <c r="E11" s="119"/>
      <c r="F11" s="117"/>
    </row>
    <row r="12" spans="1:6" s="26" customFormat="1">
      <c r="A12" s="79">
        <v>3</v>
      </c>
      <c r="B12" s="80" t="s">
        <v>102</v>
      </c>
      <c r="C12" s="59">
        <v>873.28800000000001</v>
      </c>
      <c r="D12" s="24"/>
      <c r="E12" s="119"/>
      <c r="F12" s="117"/>
    </row>
    <row r="13" spans="1:6" s="26" customFormat="1">
      <c r="A13" s="79">
        <v>4</v>
      </c>
      <c r="B13" s="81" t="s">
        <v>103</v>
      </c>
      <c r="C13" s="59">
        <v>433.49225999999999</v>
      </c>
      <c r="D13" s="24"/>
      <c r="E13" s="119"/>
      <c r="F13" s="117"/>
    </row>
    <row r="14" spans="1:6" s="26" customFormat="1">
      <c r="A14" s="79">
        <v>5</v>
      </c>
      <c r="B14" s="80" t="s">
        <v>104</v>
      </c>
      <c r="C14" s="59">
        <v>530.71199999999999</v>
      </c>
      <c r="D14" s="24"/>
      <c r="E14" s="119"/>
      <c r="F14" s="117"/>
    </row>
    <row r="15" spans="1:6" s="26" customFormat="1">
      <c r="A15" s="79">
        <v>6</v>
      </c>
      <c r="B15" s="81" t="s">
        <v>105</v>
      </c>
      <c r="C15" s="59">
        <v>2109.080645</v>
      </c>
      <c r="D15" s="24"/>
      <c r="E15" s="119"/>
      <c r="F15" s="117"/>
    </row>
    <row r="16" spans="1:6" s="26" customFormat="1" ht="36">
      <c r="A16" s="79">
        <v>7</v>
      </c>
      <c r="B16" s="81" t="s">
        <v>106</v>
      </c>
      <c r="C16" s="59">
        <v>144</v>
      </c>
      <c r="D16" s="24"/>
      <c r="E16" s="119"/>
      <c r="F16" s="117"/>
    </row>
    <row r="17" spans="1:6" s="26" customFormat="1">
      <c r="A17" s="79">
        <v>8</v>
      </c>
      <c r="B17" s="81" t="s">
        <v>107</v>
      </c>
      <c r="C17" s="59">
        <v>165.35249999999999</v>
      </c>
      <c r="D17" s="24"/>
      <c r="E17" s="119"/>
      <c r="F17" s="117"/>
    </row>
    <row r="18" spans="1:6" s="26" customFormat="1" ht="36">
      <c r="A18" s="82">
        <v>9</v>
      </c>
      <c r="B18" s="83" t="s">
        <v>108</v>
      </c>
      <c r="C18" s="59">
        <v>58.968000000000004</v>
      </c>
      <c r="D18" s="24"/>
      <c r="E18" s="119"/>
      <c r="F18" s="117"/>
    </row>
    <row r="19" spans="1:6" s="26" customFormat="1" ht="36">
      <c r="A19" s="27">
        <v>10</v>
      </c>
      <c r="B19" s="28" t="s">
        <v>109</v>
      </c>
      <c r="C19" s="59">
        <f>C20+C21</f>
        <v>177.95213000000001</v>
      </c>
      <c r="D19" s="24"/>
      <c r="E19" s="119"/>
      <c r="F19" s="117"/>
    </row>
    <row r="20" spans="1:6" s="88" customFormat="1">
      <c r="A20" s="84" t="s">
        <v>24</v>
      </c>
      <c r="B20" s="85" t="s">
        <v>25</v>
      </c>
      <c r="C20" s="86">
        <v>88</v>
      </c>
      <c r="D20" s="87"/>
      <c r="E20" s="120"/>
      <c r="F20" s="121"/>
    </row>
    <row r="21" spans="1:6" s="88" customFormat="1">
      <c r="A21" s="84" t="s">
        <v>26</v>
      </c>
      <c r="B21" s="89" t="s">
        <v>27</v>
      </c>
      <c r="C21" s="86">
        <v>89.952129999999997</v>
      </c>
      <c r="D21" s="87"/>
      <c r="E21" s="120"/>
      <c r="F21" s="121"/>
    </row>
    <row r="22" spans="1:6" s="26" customFormat="1">
      <c r="A22" s="27">
        <v>11</v>
      </c>
      <c r="B22" s="28" t="s">
        <v>110</v>
      </c>
      <c r="C22" s="59">
        <v>159</v>
      </c>
      <c r="D22" s="24"/>
      <c r="E22" s="119"/>
      <c r="F22" s="117"/>
    </row>
    <row r="23" spans="1:6" s="26" customFormat="1" ht="36">
      <c r="A23" s="27">
        <v>12</v>
      </c>
      <c r="B23" s="28" t="s">
        <v>111</v>
      </c>
      <c r="C23" s="59">
        <f>C24+C25</f>
        <v>381.446934</v>
      </c>
      <c r="D23" s="24"/>
      <c r="E23" s="119"/>
      <c r="F23" s="117"/>
    </row>
    <row r="24" spans="1:6" s="88" customFormat="1">
      <c r="A24" s="84" t="s">
        <v>30</v>
      </c>
      <c r="B24" s="85" t="s">
        <v>31</v>
      </c>
      <c r="C24" s="86">
        <v>326.446934</v>
      </c>
      <c r="D24" s="87"/>
      <c r="E24" s="120"/>
      <c r="F24" s="121"/>
    </row>
    <row r="25" spans="1:6" s="88" customFormat="1">
      <c r="A25" s="84" t="s">
        <v>32</v>
      </c>
      <c r="B25" s="85" t="s">
        <v>25</v>
      </c>
      <c r="C25" s="86">
        <v>55</v>
      </c>
      <c r="D25" s="87"/>
      <c r="E25" s="120"/>
      <c r="F25" s="121"/>
    </row>
    <row r="26" spans="1:6" s="26" customFormat="1">
      <c r="A26" s="27">
        <v>13</v>
      </c>
      <c r="B26" s="90" t="s">
        <v>112</v>
      </c>
      <c r="C26" s="59">
        <f>SUM(C27:C29)</f>
        <v>705.48287999999991</v>
      </c>
      <c r="D26" s="24"/>
      <c r="E26" s="118"/>
      <c r="F26" s="117"/>
    </row>
    <row r="27" spans="1:6" s="88" customFormat="1">
      <c r="A27" s="84" t="s">
        <v>34</v>
      </c>
      <c r="B27" s="85" t="s">
        <v>14</v>
      </c>
      <c r="C27" s="86">
        <v>289.77857999999998</v>
      </c>
      <c r="D27" s="87"/>
      <c r="E27" s="122"/>
      <c r="F27" s="121"/>
    </row>
    <row r="28" spans="1:6" s="88" customFormat="1">
      <c r="A28" s="84" t="s">
        <v>35</v>
      </c>
      <c r="B28" s="85" t="s">
        <v>15</v>
      </c>
      <c r="C28" s="86">
        <v>262.8288</v>
      </c>
      <c r="D28" s="87"/>
      <c r="E28" s="122"/>
      <c r="F28" s="121"/>
    </row>
    <row r="29" spans="1:6" s="88" customFormat="1">
      <c r="A29" s="84" t="s">
        <v>36</v>
      </c>
      <c r="B29" s="85" t="s">
        <v>25</v>
      </c>
      <c r="C29" s="86">
        <v>152.87549999999999</v>
      </c>
      <c r="D29" s="87"/>
      <c r="E29" s="122"/>
      <c r="F29" s="121"/>
    </row>
    <row r="30" spans="1:6" s="26" customFormat="1">
      <c r="A30" s="27">
        <v>14</v>
      </c>
      <c r="B30" s="90" t="s">
        <v>113</v>
      </c>
      <c r="C30" s="59">
        <v>75.875</v>
      </c>
      <c r="D30" s="24"/>
      <c r="E30" s="118"/>
      <c r="F30" s="117"/>
    </row>
    <row r="31" spans="1:6" s="93" customFormat="1" ht="16.8">
      <c r="A31" s="91" t="s">
        <v>38</v>
      </c>
      <c r="B31" s="92" t="s">
        <v>114</v>
      </c>
      <c r="C31" s="58">
        <f>C32+C33+C34</f>
        <v>1442.6577539999998</v>
      </c>
      <c r="D31" s="21"/>
      <c r="E31" s="123"/>
      <c r="F31" s="124"/>
    </row>
    <row r="32" spans="1:6" s="95" customFormat="1">
      <c r="A32" s="94">
        <v>1</v>
      </c>
      <c r="B32" s="28" t="s">
        <v>40</v>
      </c>
      <c r="C32" s="59">
        <v>190.102754</v>
      </c>
      <c r="D32" s="24"/>
      <c r="E32" s="125"/>
      <c r="F32" s="117"/>
    </row>
    <row r="33" spans="1:7" s="95" customFormat="1" ht="22.5" customHeight="1">
      <c r="A33" s="94">
        <v>2</v>
      </c>
      <c r="B33" s="81" t="s">
        <v>41</v>
      </c>
      <c r="C33" s="59">
        <v>15</v>
      </c>
      <c r="D33" s="24"/>
      <c r="E33" s="125"/>
      <c r="F33" s="117"/>
      <c r="G33" s="96"/>
    </row>
    <row r="34" spans="1:7" s="95" customFormat="1" ht="36">
      <c r="A34" s="97">
        <v>3</v>
      </c>
      <c r="B34" s="81" t="s">
        <v>42</v>
      </c>
      <c r="C34" s="59">
        <v>1237.5549999999998</v>
      </c>
      <c r="D34" s="24"/>
      <c r="E34" s="125"/>
      <c r="F34" s="117"/>
      <c r="G34" s="96"/>
    </row>
    <row r="35" spans="1:7" s="32" customFormat="1" ht="15.6">
      <c r="A35" s="29" t="s">
        <v>43</v>
      </c>
      <c r="B35" s="30" t="s">
        <v>115</v>
      </c>
      <c r="C35" s="60">
        <f>C36+C37</f>
        <v>398.07355699999999</v>
      </c>
      <c r="D35" s="31"/>
      <c r="E35" s="126"/>
      <c r="F35" s="127"/>
    </row>
    <row r="36" spans="1:7" s="34" customFormat="1">
      <c r="A36" s="98">
        <v>1</v>
      </c>
      <c r="B36" s="28" t="s">
        <v>40</v>
      </c>
      <c r="C36" s="61">
        <v>89.721557000000004</v>
      </c>
      <c r="D36" s="33"/>
      <c r="E36" s="128"/>
      <c r="F36" s="129"/>
    </row>
    <row r="37" spans="1:7" s="34" customFormat="1">
      <c r="A37" s="99">
        <v>2</v>
      </c>
      <c r="B37" s="28" t="s">
        <v>45</v>
      </c>
      <c r="C37" s="61">
        <v>308.35199999999998</v>
      </c>
      <c r="D37" s="33"/>
      <c r="E37" s="128"/>
      <c r="F37" s="129"/>
    </row>
    <row r="38" spans="1:7" s="32" customFormat="1" ht="17.399999999999999">
      <c r="A38" s="35" t="s">
        <v>46</v>
      </c>
      <c r="B38" s="36" t="s">
        <v>116</v>
      </c>
      <c r="C38" s="60">
        <f>C39</f>
        <v>378.31264799999997</v>
      </c>
      <c r="D38" s="31"/>
      <c r="E38" s="126"/>
      <c r="F38" s="127"/>
    </row>
    <row r="39" spans="1:7" s="40" customFormat="1" ht="36">
      <c r="A39" s="37"/>
      <c r="B39" s="38" t="s">
        <v>48</v>
      </c>
      <c r="C39" s="62">
        <f>C40+C41</f>
        <v>378.31264799999997</v>
      </c>
      <c r="D39" s="39"/>
      <c r="E39" s="130"/>
      <c r="F39" s="131"/>
    </row>
    <row r="40" spans="1:7" s="34" customFormat="1">
      <c r="A40" s="27">
        <v>1</v>
      </c>
      <c r="B40" s="28" t="s">
        <v>117</v>
      </c>
      <c r="C40" s="61">
        <v>195</v>
      </c>
      <c r="D40" s="33"/>
      <c r="E40" s="128"/>
      <c r="F40" s="129"/>
    </row>
    <row r="41" spans="1:7" s="34" customFormat="1">
      <c r="A41" s="27">
        <v>2</v>
      </c>
      <c r="B41" s="41" t="s">
        <v>118</v>
      </c>
      <c r="C41" s="61">
        <v>183.312648</v>
      </c>
      <c r="D41" s="33"/>
      <c r="E41" s="128"/>
      <c r="F41" s="129"/>
    </row>
    <row r="42" spans="1:7" s="34" customFormat="1" ht="34.799999999999997">
      <c r="A42" s="42" t="s">
        <v>51</v>
      </c>
      <c r="B42" s="43" t="s">
        <v>119</v>
      </c>
      <c r="C42" s="61">
        <f>C43</f>
        <v>86.579689999999999</v>
      </c>
      <c r="D42" s="33"/>
      <c r="E42" s="128"/>
      <c r="F42" s="129"/>
    </row>
    <row r="43" spans="1:7" s="40" customFormat="1" ht="36">
      <c r="A43" s="37"/>
      <c r="B43" s="38" t="s">
        <v>48</v>
      </c>
      <c r="C43" s="62">
        <f>C44</f>
        <v>86.579689999999999</v>
      </c>
      <c r="D43" s="39"/>
      <c r="E43" s="130"/>
      <c r="F43" s="131"/>
    </row>
    <row r="44" spans="1:7" s="34" customFormat="1">
      <c r="A44" s="27">
        <v>1</v>
      </c>
      <c r="B44" s="41" t="s">
        <v>52</v>
      </c>
      <c r="C44" s="61">
        <v>86.579689999999999</v>
      </c>
      <c r="D44" s="33"/>
      <c r="E44" s="128"/>
      <c r="F44" s="129"/>
    </row>
    <row r="45" spans="1:7" s="32" customFormat="1" ht="17.399999999999999">
      <c r="A45" s="44" t="s">
        <v>53</v>
      </c>
      <c r="B45" s="36" t="s">
        <v>120</v>
      </c>
      <c r="C45" s="60">
        <f>C46</f>
        <v>140.736527</v>
      </c>
      <c r="D45" s="31"/>
      <c r="E45" s="126"/>
      <c r="F45" s="127"/>
    </row>
    <row r="46" spans="1:7" s="40" customFormat="1" ht="36">
      <c r="A46" s="37"/>
      <c r="B46" s="38" t="s">
        <v>48</v>
      </c>
      <c r="C46" s="62">
        <f>C47+C48</f>
        <v>140.736527</v>
      </c>
      <c r="D46" s="39"/>
      <c r="E46" s="130"/>
      <c r="F46" s="131"/>
    </row>
    <row r="47" spans="1:7" s="34" customFormat="1">
      <c r="A47" s="27">
        <v>1</v>
      </c>
      <c r="B47" s="41" t="s">
        <v>54</v>
      </c>
      <c r="C47" s="61">
        <v>110.736527</v>
      </c>
      <c r="D47" s="33"/>
      <c r="E47" s="128"/>
      <c r="F47" s="129"/>
    </row>
    <row r="48" spans="1:7" s="34" customFormat="1">
      <c r="A48" s="27">
        <v>2</v>
      </c>
      <c r="B48" s="28" t="s">
        <v>55</v>
      </c>
      <c r="C48" s="61">
        <v>30</v>
      </c>
      <c r="D48" s="33"/>
      <c r="E48" s="128"/>
      <c r="F48" s="129"/>
    </row>
    <row r="49" spans="1:6" s="32" customFormat="1" ht="17.399999999999999">
      <c r="A49" s="44" t="s">
        <v>56</v>
      </c>
      <c r="B49" s="36" t="s">
        <v>121</v>
      </c>
      <c r="C49" s="60">
        <f>C50</f>
        <v>6654.3586580000001</v>
      </c>
      <c r="D49" s="31"/>
      <c r="E49" s="126"/>
      <c r="F49" s="127"/>
    </row>
    <row r="50" spans="1:6" s="40" customFormat="1" ht="36">
      <c r="A50" s="37"/>
      <c r="B50" s="38" t="s">
        <v>48</v>
      </c>
      <c r="C50" s="62">
        <f>SUM(C51:C57)</f>
        <v>6654.3586580000001</v>
      </c>
      <c r="D50" s="39"/>
      <c r="E50" s="130"/>
      <c r="F50" s="131"/>
    </row>
    <row r="51" spans="1:6" s="34" customFormat="1">
      <c r="A51" s="27">
        <v>1</v>
      </c>
      <c r="B51" s="45" t="s">
        <v>122</v>
      </c>
      <c r="C51" s="61">
        <v>57.025162999999999</v>
      </c>
      <c r="D51" s="33"/>
      <c r="E51" s="128"/>
      <c r="F51" s="129"/>
    </row>
    <row r="52" spans="1:6" s="34" customFormat="1">
      <c r="A52" s="27">
        <v>2</v>
      </c>
      <c r="B52" s="45" t="s">
        <v>123</v>
      </c>
      <c r="C52" s="61">
        <v>226.57</v>
      </c>
      <c r="D52" s="33"/>
      <c r="E52" s="128"/>
      <c r="F52" s="129"/>
    </row>
    <row r="53" spans="1:6" s="34" customFormat="1" ht="36">
      <c r="A53" s="27">
        <v>3</v>
      </c>
      <c r="B53" s="45" t="s">
        <v>124</v>
      </c>
      <c r="C53" s="61">
        <v>24</v>
      </c>
      <c r="D53" s="33"/>
      <c r="E53" s="128"/>
      <c r="F53" s="129"/>
    </row>
    <row r="54" spans="1:6" s="34" customFormat="1" ht="54">
      <c r="A54" s="27">
        <v>4</v>
      </c>
      <c r="B54" s="45" t="s">
        <v>125</v>
      </c>
      <c r="C54" s="61">
        <v>78</v>
      </c>
      <c r="D54" s="33"/>
      <c r="E54" s="128"/>
      <c r="F54" s="129"/>
    </row>
    <row r="55" spans="1:6" s="34" customFormat="1" ht="36">
      <c r="A55" s="27">
        <v>5</v>
      </c>
      <c r="B55" s="45" t="s">
        <v>126</v>
      </c>
      <c r="C55" s="61">
        <v>5655.76</v>
      </c>
      <c r="D55" s="33"/>
      <c r="E55" s="128"/>
      <c r="F55" s="129"/>
    </row>
    <row r="56" spans="1:6" s="34" customFormat="1">
      <c r="A56" s="27">
        <v>6</v>
      </c>
      <c r="B56" s="45" t="s">
        <v>127</v>
      </c>
      <c r="C56" s="61">
        <v>571.23549500000001</v>
      </c>
      <c r="D56" s="33"/>
      <c r="E56" s="128"/>
      <c r="F56" s="129"/>
    </row>
    <row r="57" spans="1:6" s="34" customFormat="1" ht="36">
      <c r="A57" s="27">
        <v>7</v>
      </c>
      <c r="B57" s="45" t="s">
        <v>128</v>
      </c>
      <c r="C57" s="61">
        <v>41.768000000000001</v>
      </c>
      <c r="D57" s="33"/>
      <c r="E57" s="128"/>
      <c r="F57" s="129"/>
    </row>
    <row r="58" spans="1:6" s="71" customFormat="1" ht="17.399999999999999">
      <c r="A58" s="100" t="s">
        <v>64</v>
      </c>
      <c r="B58" s="101" t="s">
        <v>65</v>
      </c>
      <c r="C58" s="102">
        <f>C59</f>
        <v>3136.6314200000002</v>
      </c>
      <c r="D58" s="70"/>
      <c r="E58" s="132"/>
      <c r="F58" s="133"/>
    </row>
    <row r="59" spans="1:6" s="106" customFormat="1" ht="18.75" customHeight="1">
      <c r="A59" s="103"/>
      <c r="B59" s="104" t="s">
        <v>66</v>
      </c>
      <c r="C59" s="105">
        <f>C60+C73+C74+C75</f>
        <v>3136.6314200000002</v>
      </c>
      <c r="D59" s="105">
        <f t="shared" ref="D59:F59" si="0">D60+D73+D74+D75</f>
        <v>0</v>
      </c>
      <c r="E59" s="105">
        <f t="shared" si="0"/>
        <v>2616.947549</v>
      </c>
      <c r="F59" s="105">
        <f t="shared" si="0"/>
        <v>519.68387100000007</v>
      </c>
    </row>
    <row r="60" spans="1:6" s="71" customFormat="1">
      <c r="A60" s="54">
        <v>1</v>
      </c>
      <c r="B60" s="55" t="s">
        <v>40</v>
      </c>
      <c r="C60" s="69">
        <f>SUM(C61:C72)</f>
        <v>2426.5374200000001</v>
      </c>
      <c r="D60" s="69">
        <f t="shared" ref="D60:F60" si="1">SUM(D61:D72)</f>
        <v>0</v>
      </c>
      <c r="E60" s="134">
        <f t="shared" si="1"/>
        <v>2337.947549</v>
      </c>
      <c r="F60" s="134">
        <f t="shared" si="1"/>
        <v>88.589871000000016</v>
      </c>
    </row>
    <row r="61" spans="1:6" s="71" customFormat="1" ht="54">
      <c r="A61" s="54"/>
      <c r="B61" s="55" t="s">
        <v>129</v>
      </c>
      <c r="C61" s="69">
        <v>100</v>
      </c>
      <c r="D61" s="70"/>
      <c r="E61" s="132">
        <v>97.485500000000002</v>
      </c>
      <c r="F61" s="133">
        <f>C61-E61</f>
        <v>2.5144999999999982</v>
      </c>
    </row>
    <row r="62" spans="1:6" s="71" customFormat="1" ht="72">
      <c r="A62" s="54"/>
      <c r="B62" s="55" t="s">
        <v>130</v>
      </c>
      <c r="C62" s="69">
        <v>100</v>
      </c>
      <c r="D62" s="70"/>
      <c r="E62" s="132">
        <v>95.503500000000003</v>
      </c>
      <c r="F62" s="133">
        <f t="shared" ref="F62:F75" si="2">C62-E62</f>
        <v>4.4964999999999975</v>
      </c>
    </row>
    <row r="63" spans="1:6" s="71" customFormat="1" ht="36">
      <c r="A63" s="54"/>
      <c r="B63" s="55" t="s">
        <v>131</v>
      </c>
      <c r="C63" s="69">
        <v>160.25559999999999</v>
      </c>
      <c r="D63" s="70"/>
      <c r="E63" s="132">
        <v>160.255</v>
      </c>
      <c r="F63" s="133">
        <f t="shared" si="2"/>
        <v>5.9999999999149622E-4</v>
      </c>
    </row>
    <row r="64" spans="1:6" s="71" customFormat="1">
      <c r="A64" s="54"/>
      <c r="B64" s="55" t="s">
        <v>132</v>
      </c>
      <c r="C64" s="69">
        <v>82.979998999999992</v>
      </c>
      <c r="D64" s="70"/>
      <c r="E64" s="132">
        <v>82.979999000000007</v>
      </c>
      <c r="F64" s="133">
        <f t="shared" si="2"/>
        <v>0</v>
      </c>
    </row>
    <row r="65" spans="1:6" s="71" customFormat="1">
      <c r="A65" s="54"/>
      <c r="B65" s="55" t="s">
        <v>133</v>
      </c>
      <c r="C65" s="69">
        <v>25</v>
      </c>
      <c r="D65" s="70"/>
      <c r="E65" s="132">
        <v>25</v>
      </c>
      <c r="F65" s="133">
        <f t="shared" si="2"/>
        <v>0</v>
      </c>
    </row>
    <row r="66" spans="1:6" s="71" customFormat="1" ht="36">
      <c r="A66" s="54"/>
      <c r="B66" s="55" t="s">
        <v>134</v>
      </c>
      <c r="C66" s="69">
        <v>53.361521000000003</v>
      </c>
      <c r="D66" s="70"/>
      <c r="E66" s="132">
        <v>53.350549999999998</v>
      </c>
      <c r="F66" s="133">
        <f t="shared" si="2"/>
        <v>1.0971000000004949E-2</v>
      </c>
    </row>
    <row r="67" spans="1:6" s="71" customFormat="1" ht="36">
      <c r="A67" s="54"/>
      <c r="B67" s="55" t="s">
        <v>135</v>
      </c>
      <c r="C67" s="69">
        <v>95</v>
      </c>
      <c r="D67" s="70"/>
      <c r="E67" s="134">
        <v>94.933000000000007</v>
      </c>
      <c r="F67" s="134">
        <f>C67-E67</f>
        <v>6.6999999999993065E-2</v>
      </c>
    </row>
    <row r="68" spans="1:6" s="71" customFormat="1" ht="36">
      <c r="A68" s="54"/>
      <c r="B68" s="55" t="s">
        <v>136</v>
      </c>
      <c r="C68" s="69">
        <v>89.940299999999993</v>
      </c>
      <c r="D68" s="70"/>
      <c r="E68" s="132">
        <v>89.94</v>
      </c>
      <c r="F68" s="133">
        <f t="shared" si="2"/>
        <v>2.9999999999574811E-4</v>
      </c>
    </row>
    <row r="69" spans="1:6" s="71" customFormat="1" ht="36">
      <c r="A69" s="54"/>
      <c r="B69" s="55" t="s">
        <v>137</v>
      </c>
      <c r="C69" s="69">
        <v>90</v>
      </c>
      <c r="D69" s="70"/>
      <c r="E69" s="132">
        <v>28.7</v>
      </c>
      <c r="F69" s="133">
        <f t="shared" si="2"/>
        <v>61.3</v>
      </c>
    </row>
    <row r="70" spans="1:6" s="71" customFormat="1" ht="36">
      <c r="A70" s="54"/>
      <c r="B70" s="55" t="s">
        <v>138</v>
      </c>
      <c r="C70" s="69">
        <v>10</v>
      </c>
      <c r="D70" s="70"/>
      <c r="E70" s="132">
        <v>4</v>
      </c>
      <c r="F70" s="133">
        <f t="shared" si="2"/>
        <v>6</v>
      </c>
    </row>
    <row r="71" spans="1:6" s="71" customFormat="1" ht="36">
      <c r="A71" s="54"/>
      <c r="B71" s="55" t="s">
        <v>139</v>
      </c>
      <c r="C71" s="69">
        <v>810</v>
      </c>
      <c r="D71" s="70"/>
      <c r="E71" s="132">
        <v>802.71600000000001</v>
      </c>
      <c r="F71" s="133">
        <f t="shared" si="2"/>
        <v>7.2839999999999918</v>
      </c>
    </row>
    <row r="72" spans="1:6" s="71" customFormat="1" ht="54">
      <c r="A72" s="54"/>
      <c r="B72" s="55" t="s">
        <v>140</v>
      </c>
      <c r="C72" s="69">
        <v>810</v>
      </c>
      <c r="D72" s="70"/>
      <c r="E72" s="132">
        <v>803.08399999999995</v>
      </c>
      <c r="F72" s="133">
        <f t="shared" si="2"/>
        <v>6.9160000000000537</v>
      </c>
    </row>
    <row r="73" spans="1:6" s="71" customFormat="1" ht="36">
      <c r="A73" s="54">
        <v>2</v>
      </c>
      <c r="B73" s="55" t="s">
        <v>141</v>
      </c>
      <c r="C73" s="69">
        <v>36.554000000000002</v>
      </c>
      <c r="D73" s="70"/>
      <c r="E73" s="132">
        <v>17</v>
      </c>
      <c r="F73" s="133">
        <f t="shared" si="2"/>
        <v>19.554000000000002</v>
      </c>
    </row>
    <row r="74" spans="1:6" s="71" customFormat="1" ht="36">
      <c r="A74" s="54">
        <v>3</v>
      </c>
      <c r="B74" s="55" t="s">
        <v>142</v>
      </c>
      <c r="C74" s="69">
        <v>411.54</v>
      </c>
      <c r="D74" s="70"/>
      <c r="E74" s="132"/>
      <c r="F74" s="133">
        <f t="shared" si="2"/>
        <v>411.54</v>
      </c>
    </row>
    <row r="75" spans="1:6" s="71" customFormat="1" ht="36">
      <c r="A75" s="54">
        <v>4</v>
      </c>
      <c r="B75" s="55" t="s">
        <v>143</v>
      </c>
      <c r="C75" s="69">
        <v>262</v>
      </c>
      <c r="D75" s="70"/>
      <c r="E75" s="132">
        <v>262</v>
      </c>
      <c r="F75" s="133">
        <f t="shared" si="2"/>
        <v>0</v>
      </c>
    </row>
    <row r="76" spans="1:6" s="34" customFormat="1" ht="17.399999999999999">
      <c r="A76" s="42" t="s">
        <v>67</v>
      </c>
      <c r="B76" s="43" t="s">
        <v>144</v>
      </c>
      <c r="C76" s="60">
        <f>C77</f>
        <v>144.884196</v>
      </c>
      <c r="D76" s="33"/>
      <c r="E76" s="128"/>
      <c r="F76" s="129"/>
    </row>
    <row r="77" spans="1:6" s="40" customFormat="1" ht="36">
      <c r="A77" s="37"/>
      <c r="B77" s="46" t="s">
        <v>69</v>
      </c>
      <c r="C77" s="62">
        <f>C78</f>
        <v>144.884196</v>
      </c>
      <c r="D77" s="39"/>
      <c r="E77" s="130"/>
      <c r="F77" s="131"/>
    </row>
    <row r="78" spans="1:6" s="34" customFormat="1" ht="18.600000000000001" thickBot="1">
      <c r="A78" s="47">
        <v>1</v>
      </c>
      <c r="B78" s="48" t="s">
        <v>68</v>
      </c>
      <c r="C78" s="63">
        <v>144.884196</v>
      </c>
      <c r="D78" s="49"/>
      <c r="E78" s="128"/>
      <c r="F78" s="129"/>
    </row>
    <row r="79" spans="1:6" s="34" customFormat="1" ht="18.600000000000001" thickTop="1">
      <c r="A79" s="50"/>
      <c r="B79" s="51"/>
      <c r="C79" s="52"/>
      <c r="D79" s="52"/>
      <c r="E79" s="128"/>
      <c r="F79" s="129"/>
    </row>
    <row r="80" spans="1:6">
      <c r="B80" s="53" t="s">
        <v>70</v>
      </c>
      <c r="C80" s="53"/>
    </row>
    <row r="81" spans="2:6" s="1" customFormat="1">
      <c r="B81" s="410" t="s">
        <v>71</v>
      </c>
      <c r="C81" s="410"/>
      <c r="D81" s="410"/>
      <c r="E81" s="110"/>
      <c r="F81" s="111"/>
    </row>
    <row r="82" spans="2:6" s="1" customFormat="1">
      <c r="B82" s="407" t="s">
        <v>306</v>
      </c>
      <c r="C82" s="407"/>
      <c r="D82" s="407"/>
      <c r="E82" s="110"/>
      <c r="F82" s="111"/>
    </row>
  </sheetData>
  <mergeCells count="6">
    <mergeCell ref="B82:D82"/>
    <mergeCell ref="A1:D1"/>
    <mergeCell ref="A2:D2"/>
    <mergeCell ref="A3:D3"/>
    <mergeCell ref="A4:D4"/>
    <mergeCell ref="B81:D81"/>
  </mergeCell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G26"/>
  <sheetViews>
    <sheetView topLeftCell="A4" workbookViewId="0">
      <selection activeCell="G24" sqref="G24"/>
    </sheetView>
  </sheetViews>
  <sheetFormatPr defaultRowHeight="14.4"/>
  <cols>
    <col min="3" max="3" width="13.109375" bestFit="1" customWidth="1"/>
    <col min="4" max="4" width="21" style="74" bestFit="1" customWidth="1"/>
    <col min="6" max="6" width="21.88671875" bestFit="1" customWidth="1"/>
    <col min="7" max="7" width="14.33203125" bestFit="1" customWidth="1"/>
  </cols>
  <sheetData>
    <row r="8" spans="3:4">
      <c r="C8" t="s">
        <v>81</v>
      </c>
    </row>
    <row r="9" spans="3:4">
      <c r="C9" t="s">
        <v>82</v>
      </c>
      <c r="D9" s="74">
        <v>521304960</v>
      </c>
    </row>
    <row r="10" spans="3:4">
      <c r="C10" t="s">
        <v>83</v>
      </c>
      <c r="D10" s="74">
        <v>5813798540</v>
      </c>
    </row>
    <row r="11" spans="3:4">
      <c r="D11" s="75">
        <f>D9+D10</f>
        <v>6335103500</v>
      </c>
    </row>
    <row r="12" spans="3:4">
      <c r="C12" t="s">
        <v>84</v>
      </c>
      <c r="D12" s="76"/>
    </row>
    <row r="13" spans="3:4">
      <c r="C13" t="s">
        <v>85</v>
      </c>
      <c r="D13" s="76">
        <v>326446934</v>
      </c>
    </row>
    <row r="14" spans="3:4">
      <c r="C14" t="s">
        <v>86</v>
      </c>
      <c r="D14" s="76">
        <v>217631290</v>
      </c>
    </row>
    <row r="15" spans="3:4">
      <c r="D15" s="76">
        <f>D11-D13-D14</f>
        <v>5791025276</v>
      </c>
    </row>
    <row r="16" spans="3:4">
      <c r="D16" s="76">
        <v>5791025276</v>
      </c>
    </row>
    <row r="17" spans="3:7">
      <c r="D17" s="76">
        <f>D15-D16</f>
        <v>0</v>
      </c>
    </row>
    <row r="18" spans="3:7">
      <c r="C18" t="s">
        <v>90</v>
      </c>
      <c r="D18" s="76"/>
    </row>
    <row r="19" spans="3:7">
      <c r="C19" t="s">
        <v>91</v>
      </c>
      <c r="D19" s="74">
        <v>2466080645</v>
      </c>
    </row>
    <row r="20" spans="3:7">
      <c r="C20" t="s">
        <v>92</v>
      </c>
      <c r="G20" s="74">
        <v>2466080645</v>
      </c>
    </row>
    <row r="21" spans="3:7">
      <c r="C21" t="s">
        <v>93</v>
      </c>
      <c r="F21" t="s">
        <v>95</v>
      </c>
      <c r="G21" s="77">
        <v>88000000</v>
      </c>
    </row>
    <row r="22" spans="3:7">
      <c r="C22" t="s">
        <v>94</v>
      </c>
      <c r="F22" t="s">
        <v>96</v>
      </c>
      <c r="G22" s="77">
        <v>159000000</v>
      </c>
    </row>
    <row r="23" spans="3:7">
      <c r="C23" t="s">
        <v>85</v>
      </c>
      <c r="F23" t="s">
        <v>97</v>
      </c>
      <c r="G23" s="77">
        <v>55000000</v>
      </c>
    </row>
    <row r="24" spans="3:7">
      <c r="C24" t="s">
        <v>86</v>
      </c>
      <c r="F24" t="s">
        <v>98</v>
      </c>
      <c r="G24" s="77">
        <v>55000000</v>
      </c>
    </row>
    <row r="25" spans="3:7">
      <c r="F25" t="s">
        <v>99</v>
      </c>
      <c r="G25" s="74">
        <v>2109080645</v>
      </c>
    </row>
    <row r="26" spans="3:7">
      <c r="G26" s="74">
        <f>SUM(G21:G25)</f>
        <v>2466080645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7"/>
  <sheetViews>
    <sheetView workbookViewId="0">
      <selection activeCell="C8" sqref="C8"/>
    </sheetView>
  </sheetViews>
  <sheetFormatPr defaultRowHeight="14.4"/>
  <cols>
    <col min="2" max="2" width="20.6640625" bestFit="1" customWidth="1"/>
    <col min="4" max="4" width="12" style="76" bestFit="1" customWidth="1"/>
  </cols>
  <sheetData>
    <row r="5" spans="2:4">
      <c r="B5" t="s">
        <v>89</v>
      </c>
    </row>
    <row r="6" spans="2:4">
      <c r="C6" t="s">
        <v>87</v>
      </c>
      <c r="D6" s="76">
        <v>482.41380800000002</v>
      </c>
    </row>
    <row r="7" spans="2:4">
      <c r="C7" t="s">
        <v>88</v>
      </c>
      <c r="D7" s="76">
        <v>781.70484899999997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L38"/>
  <sheetViews>
    <sheetView topLeftCell="A22" workbookViewId="0">
      <selection activeCell="E36" sqref="E36"/>
    </sheetView>
  </sheetViews>
  <sheetFormatPr defaultRowHeight="14.4"/>
  <cols>
    <col min="5" max="5" width="14.33203125" style="74" bestFit="1" customWidth="1"/>
    <col min="6" max="6" width="12.5546875" bestFit="1" customWidth="1"/>
    <col min="7" max="9" width="15.33203125" style="74" bestFit="1" customWidth="1"/>
    <col min="10" max="10" width="14.33203125" style="74" bestFit="1" customWidth="1"/>
    <col min="11" max="11" width="15.33203125" style="74" bestFit="1" customWidth="1"/>
    <col min="12" max="12" width="9.109375" style="74"/>
  </cols>
  <sheetData>
    <row r="3" spans="4:9" customFormat="1">
      <c r="E3" s="74" t="s">
        <v>146</v>
      </c>
      <c r="F3" t="s">
        <v>147</v>
      </c>
      <c r="G3" s="74"/>
      <c r="H3" s="74"/>
      <c r="I3" s="74"/>
    </row>
    <row r="4" spans="4:9" customFormat="1">
      <c r="D4">
        <v>1</v>
      </c>
      <c r="E4" s="74">
        <v>100000000</v>
      </c>
      <c r="F4">
        <v>1</v>
      </c>
      <c r="G4" s="74"/>
      <c r="H4" s="74"/>
      <c r="I4" s="74">
        <v>100000000</v>
      </c>
    </row>
    <row r="5" spans="4:9" customFormat="1">
      <c r="D5">
        <v>2</v>
      </c>
      <c r="E5" s="74">
        <v>100000000</v>
      </c>
      <c r="F5">
        <v>2</v>
      </c>
      <c r="G5" s="74"/>
      <c r="H5" s="74"/>
      <c r="I5" s="74">
        <v>100000000</v>
      </c>
    </row>
    <row r="6" spans="4:9" customFormat="1">
      <c r="D6">
        <v>3</v>
      </c>
      <c r="E6" s="74">
        <v>160255600</v>
      </c>
      <c r="F6">
        <v>3</v>
      </c>
      <c r="G6" s="74"/>
      <c r="H6" s="74"/>
      <c r="I6" s="74">
        <v>160255600</v>
      </c>
    </row>
    <row r="7" spans="4:9" customFormat="1">
      <c r="D7">
        <v>4</v>
      </c>
      <c r="E7" s="77">
        <v>93150000</v>
      </c>
      <c r="G7" s="74"/>
      <c r="H7" s="74"/>
      <c r="I7" s="74"/>
    </row>
    <row r="8" spans="4:9" customFormat="1">
      <c r="D8">
        <v>5</v>
      </c>
      <c r="E8" s="107">
        <v>162980000</v>
      </c>
      <c r="G8" s="74"/>
      <c r="H8" s="74"/>
      <c r="I8" s="74"/>
    </row>
    <row r="9" spans="4:9" customFormat="1">
      <c r="D9">
        <v>6</v>
      </c>
      <c r="E9" s="74">
        <v>25000000</v>
      </c>
      <c r="F9">
        <v>5</v>
      </c>
      <c r="G9" s="74"/>
      <c r="H9" s="74"/>
      <c r="I9" s="74"/>
    </row>
    <row r="10" spans="4:9" customFormat="1">
      <c r="D10">
        <v>7</v>
      </c>
      <c r="E10" s="74">
        <v>53361521</v>
      </c>
      <c r="F10">
        <v>6</v>
      </c>
      <c r="G10" s="74"/>
      <c r="H10" s="74"/>
      <c r="I10" s="74"/>
    </row>
    <row r="11" spans="4:9" customFormat="1">
      <c r="D11">
        <v>8</v>
      </c>
      <c r="E11" s="74">
        <v>95000000</v>
      </c>
      <c r="F11">
        <v>7</v>
      </c>
      <c r="G11" s="74"/>
      <c r="H11" s="74"/>
      <c r="I11" s="74"/>
    </row>
    <row r="12" spans="4:9" customFormat="1">
      <c r="D12">
        <v>9</v>
      </c>
      <c r="E12" s="107">
        <v>21000000</v>
      </c>
      <c r="G12" s="74"/>
      <c r="H12" s="74"/>
      <c r="I12" s="74"/>
    </row>
    <row r="13" spans="4:9" customFormat="1">
      <c r="D13">
        <v>10</v>
      </c>
      <c r="E13" s="108">
        <v>89940300</v>
      </c>
      <c r="F13">
        <v>8</v>
      </c>
      <c r="G13" s="74"/>
      <c r="H13" s="74"/>
      <c r="I13" s="74"/>
    </row>
    <row r="14" spans="4:9" customFormat="1">
      <c r="D14">
        <v>11</v>
      </c>
      <c r="E14" s="77">
        <v>130000000</v>
      </c>
      <c r="G14" s="74"/>
      <c r="H14" s="74"/>
      <c r="I14" s="74"/>
    </row>
    <row r="15" spans="4:9" customFormat="1">
      <c r="D15">
        <v>12</v>
      </c>
      <c r="E15" s="74">
        <v>36554000</v>
      </c>
      <c r="F15">
        <v>13</v>
      </c>
      <c r="G15" s="74"/>
      <c r="H15" s="74"/>
      <c r="I15" s="74"/>
    </row>
    <row r="16" spans="4:9" customFormat="1">
      <c r="D16">
        <v>13</v>
      </c>
      <c r="E16" s="107">
        <v>161000000</v>
      </c>
      <c r="G16" s="74"/>
      <c r="H16" s="74"/>
      <c r="I16" s="74"/>
    </row>
    <row r="17" spans="4:9" customFormat="1">
      <c r="D17">
        <v>14</v>
      </c>
      <c r="E17" s="77">
        <v>188390000</v>
      </c>
      <c r="G17" s="74"/>
      <c r="H17" s="74"/>
      <c r="I17" s="74"/>
    </row>
    <row r="18" spans="4:9" customFormat="1">
      <c r="D18">
        <v>15</v>
      </c>
      <c r="E18" s="74">
        <v>90000000</v>
      </c>
      <c r="F18">
        <v>9</v>
      </c>
      <c r="G18" s="74"/>
      <c r="H18" s="74"/>
      <c r="I18" s="74"/>
    </row>
    <row r="19" spans="4:9" customFormat="1">
      <c r="D19">
        <v>16</v>
      </c>
      <c r="E19" s="74">
        <v>10000000</v>
      </c>
      <c r="F19">
        <v>10</v>
      </c>
      <c r="G19" s="74"/>
      <c r="H19" s="74"/>
      <c r="I19" s="74"/>
    </row>
    <row r="20" spans="4:9" customFormat="1">
      <c r="D20">
        <v>17</v>
      </c>
      <c r="E20" s="74">
        <v>810000000</v>
      </c>
      <c r="F20">
        <v>11</v>
      </c>
      <c r="G20" s="74"/>
      <c r="H20" s="74"/>
      <c r="I20" s="74"/>
    </row>
    <row r="21" spans="4:9" customFormat="1">
      <c r="D21">
        <v>18</v>
      </c>
      <c r="E21" s="74">
        <v>810000000</v>
      </c>
      <c r="F21">
        <v>12</v>
      </c>
      <c r="G21" s="74"/>
      <c r="H21" s="74"/>
      <c r="I21" s="74"/>
    </row>
    <row r="22" spans="4:9" customFormat="1">
      <c r="E22" s="74">
        <f>SUM(E4:E21)</f>
        <v>3136631421</v>
      </c>
      <c r="G22" s="74"/>
      <c r="H22" s="74"/>
      <c r="I22" s="74"/>
    </row>
    <row r="24" spans="4:9" customFormat="1">
      <c r="E24" s="74"/>
      <c r="G24" s="74" t="s">
        <v>148</v>
      </c>
      <c r="H24" s="74"/>
      <c r="I24" s="74"/>
    </row>
    <row r="25" spans="4:9" customFormat="1">
      <c r="D25" t="s">
        <v>149</v>
      </c>
      <c r="E25" s="74">
        <v>4</v>
      </c>
      <c r="F25" s="109">
        <f>E7</f>
        <v>93150000</v>
      </c>
      <c r="G25" s="74"/>
      <c r="H25" s="74"/>
      <c r="I25" s="74"/>
    </row>
    <row r="26" spans="4:9" customFormat="1">
      <c r="E26" s="74">
        <v>11</v>
      </c>
      <c r="F26" s="109">
        <f>E14</f>
        <v>130000000</v>
      </c>
      <c r="G26" s="74"/>
      <c r="H26" s="74"/>
      <c r="I26" s="74"/>
    </row>
    <row r="27" spans="4:9" customFormat="1">
      <c r="E27" s="74">
        <v>14</v>
      </c>
      <c r="F27" s="109">
        <f>E17</f>
        <v>188390000</v>
      </c>
      <c r="G27" s="74"/>
      <c r="H27" s="74"/>
      <c r="I27" s="74"/>
    </row>
    <row r="28" spans="4:9" customFormat="1">
      <c r="E28" s="74"/>
      <c r="F28" s="109">
        <f>SUM(F25:F27)</f>
        <v>411540000</v>
      </c>
      <c r="G28" s="74"/>
      <c r="H28" s="74"/>
      <c r="I28" s="74"/>
    </row>
    <row r="30" spans="4:9" customFormat="1">
      <c r="D30" t="s">
        <v>150</v>
      </c>
      <c r="E30" s="74">
        <v>5</v>
      </c>
      <c r="F30" s="109">
        <f>E8</f>
        <v>162980000</v>
      </c>
      <c r="G30" s="74"/>
      <c r="H30" s="74"/>
      <c r="I30" s="74"/>
    </row>
    <row r="31" spans="4:9" customFormat="1">
      <c r="E31" s="74">
        <f>D12</f>
        <v>9</v>
      </c>
      <c r="F31" s="109">
        <f>E12</f>
        <v>21000000</v>
      </c>
      <c r="G31" s="74"/>
      <c r="H31" s="74"/>
      <c r="I31" s="74"/>
    </row>
    <row r="32" spans="4:9" customFormat="1">
      <c r="E32" s="74">
        <f>D16</f>
        <v>13</v>
      </c>
      <c r="F32" s="109">
        <f>E16</f>
        <v>161000000</v>
      </c>
      <c r="G32" s="74">
        <v>161000000</v>
      </c>
      <c r="H32" s="74">
        <v>101000000</v>
      </c>
      <c r="I32" s="74">
        <f>G32+H32</f>
        <v>262000000</v>
      </c>
    </row>
    <row r="33" spans="5:11" customFormat="1">
      <c r="F33" s="109">
        <f>SUM(F30:F32)</f>
        <v>344980000</v>
      </c>
      <c r="G33" s="74">
        <v>161000000</v>
      </c>
      <c r="H33" s="74">
        <v>101000000</v>
      </c>
      <c r="I33" s="74"/>
      <c r="J33" s="74">
        <f>F33-I32</f>
        <v>82980000</v>
      </c>
      <c r="K33" s="74" t="s">
        <v>151</v>
      </c>
    </row>
    <row r="34" spans="5:11" customFormat="1">
      <c r="F34" s="109">
        <f>E7+E8+E12+E14+E16+E17</f>
        <v>756520000</v>
      </c>
      <c r="G34" s="74"/>
      <c r="H34" s="74"/>
      <c r="I34" s="74"/>
      <c r="J34" s="74">
        <v>68980000</v>
      </c>
      <c r="K34" s="74">
        <f>I32+J34</f>
        <v>330980000</v>
      </c>
    </row>
    <row r="35" spans="5:11" customFormat="1">
      <c r="G35" s="74"/>
      <c r="H35" s="74"/>
      <c r="I35" s="74"/>
      <c r="J35" s="74">
        <f>J33-J34</f>
        <v>14000000</v>
      </c>
      <c r="K35" s="74">
        <v>162980000</v>
      </c>
    </row>
    <row r="36" spans="5:11" customFormat="1">
      <c r="E36" s="135" t="s">
        <v>152</v>
      </c>
      <c r="G36" s="74"/>
      <c r="H36" s="74"/>
      <c r="I36" s="74"/>
      <c r="J36" s="74"/>
      <c r="K36" s="74">
        <v>21000000</v>
      </c>
    </row>
    <row r="37" spans="5:11" customFormat="1">
      <c r="E37" t="s">
        <v>153</v>
      </c>
      <c r="G37" s="74"/>
      <c r="H37" s="74"/>
      <c r="I37" s="74"/>
      <c r="J37" s="74"/>
      <c r="K37" s="74">
        <v>161000000</v>
      </c>
    </row>
    <row r="38" spans="5:11" customFormat="1">
      <c r="E38" t="s">
        <v>154</v>
      </c>
      <c r="G38" s="74"/>
      <c r="H38" s="74"/>
      <c r="I38" s="74"/>
      <c r="J38" s="74"/>
      <c r="K38" s="74">
        <f>SUM(K35:K37)</f>
        <v>344980000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PL1 DIEU CHINH NHIEM VU CHI</vt:lpstr>
      <vt:lpstr>PL 2 DIEU CHINH NGUON KCT</vt:lpstr>
      <vt:lpstr>PL3 PHAN BO KINH PHI QD95 (2)</vt:lpstr>
      <vt:lpstr>PL 3 KEM TO TRINH  LUONG</vt:lpstr>
      <vt:lpstr>bc</vt:lpstr>
      <vt:lpstr>phan tich sn kinh te</vt:lpstr>
      <vt:lpstr>Sheet2</vt:lpstr>
      <vt:lpstr>nhap so còn lai</vt:lpstr>
      <vt:lpstr>giải thích so </vt:lpstr>
      <vt:lpstr>quy tien luong</vt:lpstr>
      <vt:lpstr>trung tam cung ung</vt:lpstr>
      <vt:lpstr>uy ban mt</vt:lpstr>
      <vt:lpstr>TỎNG HOP</vt:lpstr>
      <vt:lpstr>de hop1</vt:lpstr>
      <vt:lpstr>DE HOP 2</vt:lpstr>
      <vt:lpstr>A quang</vt:lpstr>
      <vt:lpstr>phan VPHDND và UBND xã</vt:lpstr>
      <vt:lpstr>PHUONG ÁN TINH</vt:lpstr>
      <vt:lpstr>'A quang'!Print_Titles</vt:lpstr>
      <vt:lpstr>'DE HOP 2'!Print_Titles</vt:lpstr>
      <vt:lpstr>'phan VPHDND và UBND xã'!Print_Titles</vt:lpstr>
    </vt:vector>
  </TitlesOfParts>
  <Company>Văn phòng Tỉnh ủy Quảng Ngãi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DELL</cp:lastModifiedBy>
  <cp:lastPrinted>2025-10-01T02:37:17Z</cp:lastPrinted>
  <dcterms:created xsi:type="dcterms:W3CDTF">2025-08-28T03:19:34Z</dcterms:created>
  <dcterms:modified xsi:type="dcterms:W3CDTF">2025-10-03T01:18:13Z</dcterms:modified>
</cp:coreProperties>
</file>